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0.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1.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2.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_minerals_sustainability/data/LCI/rsc/"/>
    </mc:Choice>
  </mc:AlternateContent>
  <xr:revisionPtr revIDLastSave="0" documentId="8_{6B70AFC7-99AB-4AFB-991A-47168C940E97}" xr6:coauthVersionLast="47" xr6:coauthVersionMax="47" xr10:uidLastSave="{00000000-0000-0000-0000-000000000000}"/>
  <bookViews>
    <workbookView xWindow="-108" yWindow="-108" windowWidth="23256" windowHeight="12456" activeTab="1" xr2:uid="{00000000-000D-0000-FFFF-FFFF00000000}"/>
  </bookViews>
  <sheets>
    <sheet name="CONTENT" sheetId="19" r:id="rId1"/>
    <sheet name="NMC111" sheetId="12" r:id="rId2"/>
    <sheet name="NMC811" sheetId="41" r:id="rId3"/>
    <sheet name="NCA" sheetId="43" r:id="rId4"/>
    <sheet name="parameters" sheetId="4" r:id="rId5"/>
    <sheet name="Ref." sheetId="13" r:id="rId6"/>
    <sheet name="info solvents" sheetId="18" r:id="rId7"/>
    <sheet name="Alternative LCI_cobalt sulfate" sheetId="32" r:id="rId8"/>
    <sheet name="Alternative LCI_separator" sheetId="21" r:id="rId9"/>
    <sheet name="Results LCIA_EF" sheetId="49" r:id="rId10"/>
    <sheet name="Results LCIA_cf. literature" sheetId="55" r:id="rId11"/>
    <sheet name="cf. cobalt sulfate" sheetId="23" r:id="rId12"/>
    <sheet name="cobalt ecoinvent 3.7" sheetId="57" r:id="rId13"/>
    <sheet name="cf. separators" sheetId="22" r:id="rId14"/>
    <sheet name="cf. Si coating" sheetId="47" r:id="rId15"/>
    <sheet name="cf. energy" sheetId="51" r:id="rId16"/>
    <sheet name="contribution_pack" sheetId="52" r:id="rId17"/>
    <sheet name="contribution_cell" sheetId="53" r:id="rId18"/>
    <sheet name="contribution_cathode" sheetId="54" r:id="rId19"/>
    <sheet name="contribution_active material" sheetId="56" r:id="rId20"/>
  </sheets>
  <definedNames>
    <definedName name="_xlnm._FilterDatabase" localSheetId="3" hidden="1">NCA!$A$3:$L$256</definedName>
    <definedName name="_xlnm._FilterDatabase" localSheetId="1" hidden="1">'NMC111'!$A$3:$AS$256</definedName>
    <definedName name="_xlnm._FilterDatabase" localSheetId="2" hidden="1">'NMC811'!$A$3:$N$257</definedName>
    <definedName name="_xlnm._FilterDatabase" localSheetId="4" hidden="1">parameters!$A$1:$O$48589</definedName>
    <definedName name="_xlnm._FilterDatabase" localSheetId="5" hidden="1">'Ref.'!$A$1:$C$1</definedName>
    <definedName name="Al_cathode" localSheetId="3">NCA!#REF!</definedName>
    <definedName name="Al_cathode" localSheetId="2">'NMC811'!#REF!</definedName>
    <definedName name="Al_cathode">'NMC111'!$J$183</definedName>
    <definedName name="ammonia_liquid_cathode_precursor" localSheetId="3">NCA!$J$202</definedName>
    <definedName name="ammonia_liquid_cathode_precursor" localSheetId="2">'NMC811'!$J$202</definedName>
    <definedName name="ammonia_liquid_cathode_precursor">'NMC111'!$J$201</definedName>
    <definedName name="chlorine_liquid" localSheetId="3">NCA!#REF!</definedName>
    <definedName name="chlorine_liquid" localSheetId="2">'NMC811'!#REF!</definedName>
    <definedName name="chlorine_liquid">'NMC111'!$J$110</definedName>
    <definedName name="chlorine_to_air" localSheetId="3">NCA!#REF!</definedName>
    <definedName name="chlorine_to_air" localSheetId="2">'NMC811'!#REF!</definedName>
    <definedName name="chlorine_to_air">'NMC111'!#REF!</definedName>
    <definedName name="cobalt" localSheetId="3">NCA!$J$258</definedName>
    <definedName name="cobalt" localSheetId="2">'NMC811'!#REF!</definedName>
    <definedName name="cobalt">'Alternative LCI_separator'!#REF!</definedName>
    <definedName name="cobalt_sulfate_in_cathode_precursor" localSheetId="3">NCA!$J$200</definedName>
    <definedName name="cobalt_sulfate_in_cathode_precursor" localSheetId="2">'NMC811'!$J$200</definedName>
    <definedName name="cobalt_sulfate_in_cathode_precursor">'NMC111'!$J$199</definedName>
    <definedName name="ethylene_carbonate" localSheetId="3">NCA!#REF!</definedName>
    <definedName name="ethylene_carbonate" localSheetId="2">'NMC811'!#REF!</definedName>
    <definedName name="ethylene_carbonate">'NMC111'!$J$109</definedName>
    <definedName name="gal_to_kg">parameters!$E$14</definedName>
    <definedName name="H2SO4_in_anode_slurry" localSheetId="3">NCA!#REF!</definedName>
    <definedName name="H2SO4_in_anode_slurry" localSheetId="2">'NMC811'!#REF!</definedName>
    <definedName name="H2SO4_in_anode_slurry">'NMC111'!$J$160</definedName>
    <definedName name="H2SO4_in_cobalt_sulfate" localSheetId="3">NCA!$J$259</definedName>
    <definedName name="H2SO4_in_cobalt_sulfate" localSheetId="2">'NMC811'!#REF!</definedName>
    <definedName name="H2SO4_in_cobalt_sulfate">'Alternative LCI_separator'!$D$69</definedName>
    <definedName name="heat_drying_cathode" localSheetId="3">NCA!$J$179</definedName>
    <definedName name="heat_drying_cathode" localSheetId="2">'NMC811'!$J$179</definedName>
    <definedName name="heat_drying_cathode">'NMC111'!$J$178</definedName>
    <definedName name="kWh_cell_NCA">parameters!$E$10</definedName>
    <definedName name="kWh_cell_NMC111">parameters!$E$4</definedName>
    <definedName name="kWh_cell_NMC811">parameters!$E$7</definedName>
    <definedName name="manganese_sulfate" localSheetId="3">NCA!$J$199</definedName>
    <definedName name="manganese_sulfate" localSheetId="2">'NMC811'!$J$199</definedName>
    <definedName name="manganese_sulfate">'NMC111'!$J$198</definedName>
    <definedName name="MJ_to_kWh">parameters!$E$12</definedName>
    <definedName name="mmBTU_to_MJ">parameters!$E$13</definedName>
    <definedName name="NaOH_in_cathode_precursor" localSheetId="3">NCA!$J$201</definedName>
    <definedName name="NaOH_in_cathode_precursor" localSheetId="2">'NMC811'!$J$201</definedName>
    <definedName name="NaOH_in_cathode_precursor">'NMC111'!$J$200</definedName>
    <definedName name="NaOH_in_cathode_slurry" localSheetId="3">NCA!#REF!</definedName>
    <definedName name="NaOH_in_cathode_slurry" localSheetId="2">'NMC811'!#REF!</definedName>
    <definedName name="NaOH_in_cathode_slurry">'NMC111'!$J$185</definedName>
    <definedName name="NaOH_in_sodium_metabisulfite" localSheetId="3">NCA!$J$241</definedName>
    <definedName name="NaOH_in_sodium_metabisulfite" localSheetId="2">'NMC811'!$J$242</definedName>
    <definedName name="NaOH_in_sodium_metabisulfite">'NMC111'!$J$241</definedName>
    <definedName name="nickel_sulfate" localSheetId="3">NCA!$J$198</definedName>
    <definedName name="nickel_sulfate" localSheetId="2">'NMC811'!$J$198</definedName>
    <definedName name="nickel_sulfate">'NMC111'!$J$197</definedName>
    <definedName name="NMP" localSheetId="3">NCA!$J$178</definedName>
    <definedName name="NMP" localSheetId="2">'NMC811'!$J$178</definedName>
    <definedName name="NMP">'NMC111'!$J$177</definedName>
    <definedName name="process_efficiency">parameters!$E$11</definedName>
    <definedName name="Si_coating" localSheetId="3">NCA!$J$154</definedName>
    <definedName name="Si_coating" localSheetId="2">'NMC811'!$J$154</definedName>
    <definedName name="Si_coating">'NMC111'!#REF!</definedName>
    <definedName name="SO2_air" localSheetId="3">NCA!$J$250</definedName>
    <definedName name="SO2_air" localSheetId="2">'NMC811'!$J$251</definedName>
    <definedName name="SO2_air">'NMC111'!$J$250</definedName>
    <definedName name="SO2_liquid" localSheetId="3">NCA!$J$240</definedName>
    <definedName name="SO2_liquid" localSheetId="2">'NMC811'!$J$241</definedName>
    <definedName name="SO2_liquid">'NMC111'!$J$240</definedName>
    <definedName name="specific_energy_NCA">parameters!$E$8</definedName>
    <definedName name="specific_energy_NMC111">parameters!$E$2</definedName>
    <definedName name="specific_energy_NMC811">parameters!$E$5</definedName>
    <definedName name="triethyl_amine" localSheetId="3">NCA!#REF!</definedName>
    <definedName name="triethyl_amine" localSheetId="2">'NMC811'!#REF!</definedName>
    <definedName name="triethyl_amine">'NMC111'!$J$108</definedName>
    <definedName name="wastewater_anode" localSheetId="3">NCA!#REF!</definedName>
    <definedName name="water_cathode_precursor" localSheetId="3">NCA!$J$206</definedName>
    <definedName name="water_cathode_precursor" localSheetId="2">'NMC811'!$J$206</definedName>
    <definedName name="water_cathode_precursor">'NMC111'!$J$206</definedName>
    <definedName name="water_deionised" localSheetId="3">NCA!$J$149</definedName>
    <definedName name="water_deionised" localSheetId="2">'NMC811'!$J$149</definedName>
    <definedName name="water_deionised">'NMC111'!$J$149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 i="51" l="1"/>
  <c r="D20" i="51"/>
  <c r="D21" i="51"/>
  <c r="D22" i="51"/>
  <c r="D23" i="51"/>
  <c r="D24" i="51"/>
  <c r="D25" i="51"/>
  <c r="D26" i="51"/>
  <c r="D27" i="51"/>
  <c r="D28" i="51"/>
  <c r="D29" i="51"/>
  <c r="D30" i="51"/>
  <c r="D31" i="51"/>
  <c r="D32" i="51"/>
  <c r="D33" i="51"/>
  <c r="D18" i="51"/>
  <c r="C33" i="51"/>
  <c r="C19" i="51"/>
  <c r="C20" i="51"/>
  <c r="C21" i="51"/>
  <c r="C22" i="51"/>
  <c r="C23" i="51"/>
  <c r="C24" i="51"/>
  <c r="C25" i="51"/>
  <c r="C26" i="51"/>
  <c r="C27" i="51"/>
  <c r="C28" i="51"/>
  <c r="C29" i="51"/>
  <c r="C30" i="51"/>
  <c r="C31" i="51"/>
  <c r="C32" i="51"/>
  <c r="C18" i="51"/>
  <c r="E4" i="55"/>
  <c r="D4" i="55"/>
  <c r="C4" i="55"/>
  <c r="J178" i="43"/>
  <c r="J178" i="41"/>
  <c r="J177" i="12"/>
  <c r="E37" i="49" l="1"/>
  <c r="D37" i="49"/>
  <c r="C37" i="49"/>
  <c r="C38" i="49"/>
  <c r="H15" i="49" s="1"/>
  <c r="H14" i="49" l="1"/>
  <c r="H12" i="49"/>
  <c r="H11" i="49"/>
  <c r="H10" i="49"/>
  <c r="H22" i="49"/>
  <c r="H13" i="49"/>
  <c r="H20" i="49"/>
  <c r="H19" i="49"/>
  <c r="H18" i="49"/>
  <c r="H17" i="49"/>
  <c r="H9" i="49"/>
  <c r="H16" i="49"/>
  <c r="H8" i="49"/>
  <c r="H21" i="49"/>
  <c r="H23" i="49"/>
  <c r="J113" i="43"/>
  <c r="J112" i="43"/>
  <c r="J111" i="43"/>
  <c r="J110" i="43"/>
  <c r="J109" i="43"/>
  <c r="J108" i="43"/>
  <c r="J107" i="43"/>
  <c r="J113" i="41"/>
  <c r="J112" i="41"/>
  <c r="J111" i="41"/>
  <c r="J110" i="41"/>
  <c r="J109" i="41"/>
  <c r="J108" i="41"/>
  <c r="J107" i="41"/>
  <c r="J113" i="12"/>
  <c r="J112" i="12"/>
  <c r="C56" i="51" l="1"/>
  <c r="J23" i="43" l="1"/>
  <c r="J23" i="41"/>
  <c r="B31" i="57" l="1"/>
  <c r="H15" i="57"/>
  <c r="K21" i="57" s="1"/>
  <c r="K22" i="57" s="1"/>
  <c r="C15" i="57"/>
  <c r="K25" i="57" s="1"/>
  <c r="C14" i="57"/>
  <c r="K24" i="57" s="1"/>
  <c r="K28" i="57" l="1"/>
  <c r="B20" i="57"/>
  <c r="K20" i="57"/>
  <c r="B24" i="57"/>
  <c r="H16" i="57"/>
  <c r="B25" i="57"/>
  <c r="C16" i="57"/>
  <c r="B21" i="57"/>
  <c r="B22" i="57" s="1"/>
  <c r="K27" i="57" l="1"/>
  <c r="B27" i="57"/>
  <c r="B28" i="57"/>
  <c r="B32" i="57" s="1"/>
  <c r="L36" i="22"/>
  <c r="R72" i="22"/>
  <c r="Q72" i="22"/>
  <c r="P72" i="22"/>
  <c r="O72" i="22"/>
  <c r="N72" i="22"/>
  <c r="M72" i="22"/>
  <c r="L72" i="22"/>
  <c r="R71" i="22"/>
  <c r="Q71" i="22"/>
  <c r="P71" i="22"/>
  <c r="O71" i="22"/>
  <c r="N71" i="22"/>
  <c r="M71" i="22"/>
  <c r="L71" i="22"/>
  <c r="R70" i="22"/>
  <c r="Q70" i="22"/>
  <c r="P70" i="22"/>
  <c r="O70" i="22"/>
  <c r="N70" i="22"/>
  <c r="M70" i="22"/>
  <c r="L70" i="22"/>
  <c r="R69" i="22"/>
  <c r="Q69" i="22"/>
  <c r="P69" i="22"/>
  <c r="O69" i="22"/>
  <c r="N69" i="22"/>
  <c r="M69" i="22"/>
  <c r="L69" i="22"/>
  <c r="R68" i="22"/>
  <c r="Q68" i="22"/>
  <c r="P68" i="22"/>
  <c r="O68" i="22"/>
  <c r="N68" i="22"/>
  <c r="M68" i="22"/>
  <c r="L68" i="22"/>
  <c r="R67" i="22"/>
  <c r="Q67" i="22"/>
  <c r="P67" i="22"/>
  <c r="O67" i="22"/>
  <c r="N67" i="22"/>
  <c r="M67" i="22"/>
  <c r="L67" i="22"/>
  <c r="R66" i="22"/>
  <c r="Q66" i="22"/>
  <c r="P66" i="22"/>
  <c r="O66" i="22"/>
  <c r="N66" i="22"/>
  <c r="M66" i="22"/>
  <c r="L66" i="22"/>
  <c r="R65" i="22"/>
  <c r="Q65" i="22"/>
  <c r="P65" i="22"/>
  <c r="O65" i="22"/>
  <c r="N65" i="22"/>
  <c r="M65" i="22"/>
  <c r="L65" i="22"/>
  <c r="R64" i="22"/>
  <c r="Q64" i="22"/>
  <c r="P64" i="22"/>
  <c r="O64" i="22"/>
  <c r="N64" i="22"/>
  <c r="M64" i="22"/>
  <c r="L64" i="22"/>
  <c r="R63" i="22"/>
  <c r="Q63" i="22"/>
  <c r="P63" i="22"/>
  <c r="O63" i="22"/>
  <c r="N63" i="22"/>
  <c r="M63" i="22"/>
  <c r="L63" i="22"/>
  <c r="R62" i="22"/>
  <c r="Q62" i="22"/>
  <c r="P62" i="22"/>
  <c r="O62" i="22"/>
  <c r="N62" i="22"/>
  <c r="M62" i="22"/>
  <c r="L62" i="22"/>
  <c r="R61" i="22"/>
  <c r="Q61" i="22"/>
  <c r="P61" i="22"/>
  <c r="O61" i="22"/>
  <c r="N61" i="22"/>
  <c r="M61" i="22"/>
  <c r="L61" i="22"/>
  <c r="R60" i="22"/>
  <c r="Q60" i="22"/>
  <c r="P60" i="22"/>
  <c r="O60" i="22"/>
  <c r="N60" i="22"/>
  <c r="M60" i="22"/>
  <c r="L60" i="22"/>
  <c r="R59" i="22"/>
  <c r="Q59" i="22"/>
  <c r="P59" i="22"/>
  <c r="O59" i="22"/>
  <c r="N59" i="22"/>
  <c r="M59" i="22"/>
  <c r="L59" i="22"/>
  <c r="R58" i="22"/>
  <c r="Q58" i="22"/>
  <c r="P58" i="22"/>
  <c r="O58" i="22"/>
  <c r="N58" i="22"/>
  <c r="M58" i="22"/>
  <c r="L58" i="22"/>
  <c r="R57" i="22"/>
  <c r="Q57" i="22"/>
  <c r="P57" i="22"/>
  <c r="O57" i="22"/>
  <c r="N57" i="22"/>
  <c r="M57" i="22"/>
  <c r="L57" i="22"/>
  <c r="R51" i="22"/>
  <c r="Q51" i="22"/>
  <c r="P51" i="22"/>
  <c r="O51" i="22"/>
  <c r="N51" i="22"/>
  <c r="M51" i="22"/>
  <c r="L51" i="22"/>
  <c r="R50" i="22"/>
  <c r="Q50" i="22"/>
  <c r="P50" i="22"/>
  <c r="O50" i="22"/>
  <c r="N50" i="22"/>
  <c r="M50" i="22"/>
  <c r="L50" i="22"/>
  <c r="R49" i="22"/>
  <c r="Q49" i="22"/>
  <c r="P49" i="22"/>
  <c r="O49" i="22"/>
  <c r="N49" i="22"/>
  <c r="M49" i="22"/>
  <c r="L49" i="22"/>
  <c r="R48" i="22"/>
  <c r="Q48" i="22"/>
  <c r="P48" i="22"/>
  <c r="O48" i="22"/>
  <c r="N48" i="22"/>
  <c r="M48" i="22"/>
  <c r="L48" i="22"/>
  <c r="R47" i="22"/>
  <c r="Q47" i="22"/>
  <c r="P47" i="22"/>
  <c r="O47" i="22"/>
  <c r="N47" i="22"/>
  <c r="M47" i="22"/>
  <c r="L47" i="22"/>
  <c r="R46" i="22"/>
  <c r="Q46" i="22"/>
  <c r="P46" i="22"/>
  <c r="O46" i="22"/>
  <c r="N46" i="22"/>
  <c r="M46" i="22"/>
  <c r="L46" i="22"/>
  <c r="R45" i="22"/>
  <c r="Q45" i="22"/>
  <c r="P45" i="22"/>
  <c r="O45" i="22"/>
  <c r="N45" i="22"/>
  <c r="M45" i="22"/>
  <c r="L45" i="22"/>
  <c r="R44" i="22"/>
  <c r="Q44" i="22"/>
  <c r="P44" i="22"/>
  <c r="O44" i="22"/>
  <c r="N44" i="22"/>
  <c r="M44" i="22"/>
  <c r="L44" i="22"/>
  <c r="R43" i="22"/>
  <c r="Q43" i="22"/>
  <c r="P43" i="22"/>
  <c r="O43" i="22"/>
  <c r="N43" i="22"/>
  <c r="M43" i="22"/>
  <c r="L43" i="22"/>
  <c r="R42" i="22"/>
  <c r="Q42" i="22"/>
  <c r="P42" i="22"/>
  <c r="O42" i="22"/>
  <c r="N42" i="22"/>
  <c r="M42" i="22"/>
  <c r="L42" i="22"/>
  <c r="R41" i="22"/>
  <c r="Q41" i="22"/>
  <c r="P41" i="22"/>
  <c r="O41" i="22"/>
  <c r="N41" i="22"/>
  <c r="M41" i="22"/>
  <c r="L41" i="22"/>
  <c r="R40" i="22"/>
  <c r="Q40" i="22"/>
  <c r="P40" i="22"/>
  <c r="O40" i="22"/>
  <c r="N40" i="22"/>
  <c r="M40" i="22"/>
  <c r="L40" i="22"/>
  <c r="R39" i="22"/>
  <c r="Q39" i="22"/>
  <c r="P39" i="22"/>
  <c r="O39" i="22"/>
  <c r="N39" i="22"/>
  <c r="M39" i="22"/>
  <c r="L39" i="22"/>
  <c r="R38" i="22"/>
  <c r="Q38" i="22"/>
  <c r="P38" i="22"/>
  <c r="O38" i="22"/>
  <c r="N38" i="22"/>
  <c r="M38" i="22"/>
  <c r="L38" i="22"/>
  <c r="R37" i="22"/>
  <c r="Q37" i="22"/>
  <c r="P37" i="22"/>
  <c r="O37" i="22"/>
  <c r="N37" i="22"/>
  <c r="M37" i="22"/>
  <c r="L37" i="22"/>
  <c r="R36" i="22"/>
  <c r="Q36" i="22"/>
  <c r="P36" i="22"/>
  <c r="O36" i="22"/>
  <c r="N36" i="22"/>
  <c r="M36" i="22"/>
  <c r="L16" i="22"/>
  <c r="M16" i="22"/>
  <c r="N16" i="22"/>
  <c r="O16" i="22"/>
  <c r="P16" i="22"/>
  <c r="Q16" i="22"/>
  <c r="R16" i="22"/>
  <c r="L17" i="22"/>
  <c r="M17" i="22"/>
  <c r="N17" i="22"/>
  <c r="O17" i="22"/>
  <c r="P17" i="22"/>
  <c r="Q17" i="22"/>
  <c r="R17" i="22"/>
  <c r="L18" i="22"/>
  <c r="M18" i="22"/>
  <c r="N18" i="22"/>
  <c r="O18" i="22"/>
  <c r="P18" i="22"/>
  <c r="Q18" i="22"/>
  <c r="R18" i="22"/>
  <c r="L19" i="22"/>
  <c r="M19" i="22"/>
  <c r="N19" i="22"/>
  <c r="O19" i="22"/>
  <c r="P19" i="22"/>
  <c r="Q19" i="22"/>
  <c r="R19" i="22"/>
  <c r="L20" i="22"/>
  <c r="M20" i="22"/>
  <c r="N20" i="22"/>
  <c r="O20" i="22"/>
  <c r="P20" i="22"/>
  <c r="Q20" i="22"/>
  <c r="R20" i="22"/>
  <c r="L21" i="22"/>
  <c r="M21" i="22"/>
  <c r="N21" i="22"/>
  <c r="O21" i="22"/>
  <c r="P21" i="22"/>
  <c r="Q21" i="22"/>
  <c r="R21" i="22"/>
  <c r="L22" i="22"/>
  <c r="M22" i="22"/>
  <c r="N22" i="22"/>
  <c r="O22" i="22"/>
  <c r="P22" i="22"/>
  <c r="Q22" i="22"/>
  <c r="R22" i="22"/>
  <c r="L23" i="22"/>
  <c r="M23" i="22"/>
  <c r="N23" i="22"/>
  <c r="O23" i="22"/>
  <c r="P23" i="22"/>
  <c r="Q23" i="22"/>
  <c r="R23" i="22"/>
  <c r="L24" i="22"/>
  <c r="M24" i="22"/>
  <c r="N24" i="22"/>
  <c r="O24" i="22"/>
  <c r="P24" i="22"/>
  <c r="Q24" i="22"/>
  <c r="R24" i="22"/>
  <c r="L25" i="22"/>
  <c r="M25" i="22"/>
  <c r="N25" i="22"/>
  <c r="O25" i="22"/>
  <c r="P25" i="22"/>
  <c r="Q25" i="22"/>
  <c r="R25" i="22"/>
  <c r="L26" i="22"/>
  <c r="M26" i="22"/>
  <c r="N26" i="22"/>
  <c r="O26" i="22"/>
  <c r="P26" i="22"/>
  <c r="Q26" i="22"/>
  <c r="R26" i="22"/>
  <c r="L27" i="22"/>
  <c r="M27" i="22"/>
  <c r="N27" i="22"/>
  <c r="O27" i="22"/>
  <c r="P27" i="22"/>
  <c r="Q27" i="22"/>
  <c r="R27" i="22"/>
  <c r="L28" i="22"/>
  <c r="M28" i="22"/>
  <c r="N28" i="22"/>
  <c r="O28" i="22"/>
  <c r="P28" i="22"/>
  <c r="Q28" i="22"/>
  <c r="R28" i="22"/>
  <c r="L29" i="22"/>
  <c r="M29" i="22"/>
  <c r="N29" i="22"/>
  <c r="O29" i="22"/>
  <c r="P29" i="22"/>
  <c r="Q29" i="22"/>
  <c r="R29" i="22"/>
  <c r="L30" i="22"/>
  <c r="M30" i="22"/>
  <c r="N30" i="22"/>
  <c r="O30" i="22"/>
  <c r="P30" i="22"/>
  <c r="Q30" i="22"/>
  <c r="R30" i="22"/>
  <c r="M15" i="22"/>
  <c r="N15" i="22"/>
  <c r="O15" i="22"/>
  <c r="P15" i="22"/>
  <c r="Q15" i="22"/>
  <c r="R15" i="22"/>
  <c r="L15" i="22"/>
  <c r="N93" i="23" l="1"/>
  <c r="M93" i="23"/>
  <c r="L93" i="23"/>
  <c r="K93" i="23"/>
  <c r="J93" i="23"/>
  <c r="N92" i="23"/>
  <c r="M92" i="23"/>
  <c r="L92" i="23"/>
  <c r="K92" i="23"/>
  <c r="J92" i="23"/>
  <c r="N91" i="23"/>
  <c r="M91" i="23"/>
  <c r="L91" i="23"/>
  <c r="K91" i="23"/>
  <c r="J91" i="23"/>
  <c r="N90" i="23"/>
  <c r="M90" i="23"/>
  <c r="L90" i="23"/>
  <c r="K90" i="23"/>
  <c r="J90" i="23"/>
  <c r="N89" i="23"/>
  <c r="M89" i="23"/>
  <c r="L89" i="23"/>
  <c r="K89" i="23"/>
  <c r="J89" i="23"/>
  <c r="N88" i="23"/>
  <c r="M88" i="23"/>
  <c r="L88" i="23"/>
  <c r="K88" i="23"/>
  <c r="J88" i="23"/>
  <c r="N87" i="23"/>
  <c r="M87" i="23"/>
  <c r="L87" i="23"/>
  <c r="K87" i="23"/>
  <c r="J87" i="23"/>
  <c r="N86" i="23"/>
  <c r="M86" i="23"/>
  <c r="L86" i="23"/>
  <c r="K86" i="23"/>
  <c r="J86" i="23"/>
  <c r="N85" i="23"/>
  <c r="M85" i="23"/>
  <c r="L85" i="23"/>
  <c r="K85" i="23"/>
  <c r="J85" i="23"/>
  <c r="N84" i="23"/>
  <c r="M84" i="23"/>
  <c r="L84" i="23"/>
  <c r="K84" i="23"/>
  <c r="J84" i="23"/>
  <c r="N83" i="23"/>
  <c r="M83" i="23"/>
  <c r="L83" i="23"/>
  <c r="K83" i="23"/>
  <c r="J83" i="23"/>
  <c r="N82" i="23"/>
  <c r="M82" i="23"/>
  <c r="L82" i="23"/>
  <c r="K82" i="23"/>
  <c r="J82" i="23"/>
  <c r="N81" i="23"/>
  <c r="M81" i="23"/>
  <c r="L81" i="23"/>
  <c r="K81" i="23"/>
  <c r="J81" i="23"/>
  <c r="N80" i="23"/>
  <c r="M80" i="23"/>
  <c r="L80" i="23"/>
  <c r="K80" i="23"/>
  <c r="J80" i="23"/>
  <c r="N79" i="23"/>
  <c r="M79" i="23"/>
  <c r="L79" i="23"/>
  <c r="K79" i="23"/>
  <c r="J79" i="23"/>
  <c r="N78" i="23"/>
  <c r="M78" i="23"/>
  <c r="L78" i="23"/>
  <c r="K78" i="23"/>
  <c r="J78" i="23"/>
  <c r="N72" i="23"/>
  <c r="M72" i="23"/>
  <c r="L72" i="23"/>
  <c r="K72" i="23"/>
  <c r="J72" i="23"/>
  <c r="N71" i="23"/>
  <c r="M71" i="23"/>
  <c r="L71" i="23"/>
  <c r="K71" i="23"/>
  <c r="J71" i="23"/>
  <c r="N70" i="23"/>
  <c r="M70" i="23"/>
  <c r="L70" i="23"/>
  <c r="K70" i="23"/>
  <c r="J70" i="23"/>
  <c r="N69" i="23"/>
  <c r="M69" i="23"/>
  <c r="L69" i="23"/>
  <c r="K69" i="23"/>
  <c r="J69" i="23"/>
  <c r="N68" i="23"/>
  <c r="M68" i="23"/>
  <c r="L68" i="23"/>
  <c r="K68" i="23"/>
  <c r="J68" i="23"/>
  <c r="N67" i="23"/>
  <c r="M67" i="23"/>
  <c r="L67" i="23"/>
  <c r="K67" i="23"/>
  <c r="J67" i="23"/>
  <c r="N66" i="23"/>
  <c r="M66" i="23"/>
  <c r="L66" i="23"/>
  <c r="K66" i="23"/>
  <c r="J66" i="23"/>
  <c r="N65" i="23"/>
  <c r="M65" i="23"/>
  <c r="L65" i="23"/>
  <c r="K65" i="23"/>
  <c r="J65" i="23"/>
  <c r="N64" i="23"/>
  <c r="M64" i="23"/>
  <c r="L64" i="23"/>
  <c r="K64" i="23"/>
  <c r="J64" i="23"/>
  <c r="N63" i="23"/>
  <c r="M63" i="23"/>
  <c r="L63" i="23"/>
  <c r="K63" i="23"/>
  <c r="J63" i="23"/>
  <c r="N62" i="23"/>
  <c r="M62" i="23"/>
  <c r="L62" i="23"/>
  <c r="K62" i="23"/>
  <c r="J62" i="23"/>
  <c r="N61" i="23"/>
  <c r="M61" i="23"/>
  <c r="L61" i="23"/>
  <c r="K61" i="23"/>
  <c r="J61" i="23"/>
  <c r="N60" i="23"/>
  <c r="M60" i="23"/>
  <c r="L60" i="23"/>
  <c r="K60" i="23"/>
  <c r="J60" i="23"/>
  <c r="N59" i="23"/>
  <c r="M59" i="23"/>
  <c r="L59" i="23"/>
  <c r="K59" i="23"/>
  <c r="J59" i="23"/>
  <c r="N58" i="23"/>
  <c r="M58" i="23"/>
  <c r="L58" i="23"/>
  <c r="K58" i="23"/>
  <c r="J58" i="23"/>
  <c r="N57" i="23"/>
  <c r="M57" i="23"/>
  <c r="L57" i="23"/>
  <c r="K57" i="23"/>
  <c r="J57" i="23"/>
  <c r="N51" i="23"/>
  <c r="M51" i="23"/>
  <c r="L51" i="23"/>
  <c r="K51" i="23"/>
  <c r="J51" i="23"/>
  <c r="N50" i="23"/>
  <c r="M50" i="23"/>
  <c r="L50" i="23"/>
  <c r="K50" i="23"/>
  <c r="J50" i="23"/>
  <c r="N49" i="23"/>
  <c r="M49" i="23"/>
  <c r="L49" i="23"/>
  <c r="K49" i="23"/>
  <c r="J49" i="23"/>
  <c r="N48" i="23"/>
  <c r="M48" i="23"/>
  <c r="L48" i="23"/>
  <c r="K48" i="23"/>
  <c r="J48" i="23"/>
  <c r="N47" i="23"/>
  <c r="M47" i="23"/>
  <c r="L47" i="23"/>
  <c r="K47" i="23"/>
  <c r="J47" i="23"/>
  <c r="N46" i="23"/>
  <c r="M46" i="23"/>
  <c r="L46" i="23"/>
  <c r="K46" i="23"/>
  <c r="J46" i="23"/>
  <c r="N45" i="23"/>
  <c r="M45" i="23"/>
  <c r="L45" i="23"/>
  <c r="K45" i="23"/>
  <c r="J45" i="23"/>
  <c r="N44" i="23"/>
  <c r="M44" i="23"/>
  <c r="L44" i="23"/>
  <c r="K44" i="23"/>
  <c r="J44" i="23"/>
  <c r="N43" i="23"/>
  <c r="M43" i="23"/>
  <c r="L43" i="23"/>
  <c r="K43" i="23"/>
  <c r="J43" i="23"/>
  <c r="N42" i="23"/>
  <c r="M42" i="23"/>
  <c r="L42" i="23"/>
  <c r="K42" i="23"/>
  <c r="J42" i="23"/>
  <c r="N41" i="23"/>
  <c r="M41" i="23"/>
  <c r="L41" i="23"/>
  <c r="K41" i="23"/>
  <c r="J41" i="23"/>
  <c r="N40" i="23"/>
  <c r="M40" i="23"/>
  <c r="L40" i="23"/>
  <c r="K40" i="23"/>
  <c r="J40" i="23"/>
  <c r="N39" i="23"/>
  <c r="M39" i="23"/>
  <c r="L39" i="23"/>
  <c r="K39" i="23"/>
  <c r="J39" i="23"/>
  <c r="N38" i="23"/>
  <c r="M38" i="23"/>
  <c r="L38" i="23"/>
  <c r="K38" i="23"/>
  <c r="J38" i="23"/>
  <c r="N37" i="23"/>
  <c r="M37" i="23"/>
  <c r="L37" i="23"/>
  <c r="K37" i="23"/>
  <c r="J37" i="23"/>
  <c r="N36" i="23"/>
  <c r="M36" i="23"/>
  <c r="L36" i="23"/>
  <c r="K36" i="23"/>
  <c r="J36" i="23"/>
  <c r="J16" i="23"/>
  <c r="K16" i="23"/>
  <c r="L16" i="23"/>
  <c r="M16" i="23"/>
  <c r="N16" i="23"/>
  <c r="J17" i="23"/>
  <c r="K17" i="23"/>
  <c r="L17" i="23"/>
  <c r="M17" i="23"/>
  <c r="N17" i="23"/>
  <c r="J18" i="23"/>
  <c r="K18" i="23"/>
  <c r="L18" i="23"/>
  <c r="M18" i="23"/>
  <c r="N18" i="23"/>
  <c r="J19" i="23"/>
  <c r="K19" i="23"/>
  <c r="L19" i="23"/>
  <c r="M19" i="23"/>
  <c r="N19" i="23"/>
  <c r="J20" i="23"/>
  <c r="K20" i="23"/>
  <c r="L20" i="23"/>
  <c r="M20" i="23"/>
  <c r="N20" i="23"/>
  <c r="J21" i="23"/>
  <c r="K21" i="23"/>
  <c r="L21" i="23"/>
  <c r="M21" i="23"/>
  <c r="N21" i="23"/>
  <c r="J22" i="23"/>
  <c r="K22" i="23"/>
  <c r="L22" i="23"/>
  <c r="M22" i="23"/>
  <c r="N22" i="23"/>
  <c r="J23" i="23"/>
  <c r="K23" i="23"/>
  <c r="L23" i="23"/>
  <c r="M23" i="23"/>
  <c r="N23" i="23"/>
  <c r="J24" i="23"/>
  <c r="K24" i="23"/>
  <c r="L24" i="23"/>
  <c r="M24" i="23"/>
  <c r="N24" i="23"/>
  <c r="J25" i="23"/>
  <c r="K25" i="23"/>
  <c r="L25" i="23"/>
  <c r="M25" i="23"/>
  <c r="N25" i="23"/>
  <c r="J26" i="23"/>
  <c r="K26" i="23"/>
  <c r="L26" i="23"/>
  <c r="M26" i="23"/>
  <c r="N26" i="23"/>
  <c r="J27" i="23"/>
  <c r="K27" i="23"/>
  <c r="L27" i="23"/>
  <c r="M27" i="23"/>
  <c r="N27" i="23"/>
  <c r="J28" i="23"/>
  <c r="K28" i="23"/>
  <c r="L28" i="23"/>
  <c r="M28" i="23"/>
  <c r="N28" i="23"/>
  <c r="J29" i="23"/>
  <c r="K29" i="23"/>
  <c r="L29" i="23"/>
  <c r="M29" i="23"/>
  <c r="N29" i="23"/>
  <c r="J30" i="23"/>
  <c r="K30" i="23"/>
  <c r="L30" i="23"/>
  <c r="M30" i="23"/>
  <c r="N30" i="23"/>
  <c r="K15" i="23"/>
  <c r="L15" i="23"/>
  <c r="M15" i="23"/>
  <c r="N15" i="23"/>
  <c r="J15" i="23"/>
  <c r="J202" i="43" l="1"/>
  <c r="F8" i="49" l="1"/>
  <c r="G23" i="49"/>
  <c r="F23" i="49"/>
  <c r="G22" i="49"/>
  <c r="F22" i="49"/>
  <c r="G21" i="49"/>
  <c r="F21" i="49"/>
  <c r="G20" i="49"/>
  <c r="F20" i="49"/>
  <c r="G19" i="49"/>
  <c r="F19" i="49"/>
  <c r="G18" i="49"/>
  <c r="F18" i="49"/>
  <c r="G17" i="49"/>
  <c r="G16" i="49"/>
  <c r="F16" i="49"/>
  <c r="G15" i="49"/>
  <c r="F15" i="49"/>
  <c r="G14" i="49"/>
  <c r="F14" i="49"/>
  <c r="G13" i="49"/>
  <c r="F13" i="49"/>
  <c r="G12" i="49"/>
  <c r="F12" i="49"/>
  <c r="G11" i="49"/>
  <c r="F11" i="49"/>
  <c r="G10" i="49"/>
  <c r="F10" i="49"/>
  <c r="G9" i="49"/>
  <c r="F9" i="49"/>
  <c r="G8" i="49"/>
  <c r="E38" i="49"/>
  <c r="D38" i="49"/>
  <c r="J13" i="49" l="1"/>
  <c r="J18" i="49"/>
  <c r="J8" i="49"/>
  <c r="I9" i="49"/>
  <c r="I8" i="49"/>
  <c r="I16" i="49"/>
  <c r="J10" i="49"/>
  <c r="I18" i="49"/>
  <c r="J15" i="49"/>
  <c r="L15" i="49" s="1"/>
  <c r="I10" i="49"/>
  <c r="K10" i="49" s="1"/>
  <c r="I23" i="49"/>
  <c r="J20" i="49"/>
  <c r="I15" i="49"/>
  <c r="J12" i="49"/>
  <c r="I21" i="49"/>
  <c r="I13" i="49"/>
  <c r="J23" i="49"/>
  <c r="I20" i="49"/>
  <c r="J17" i="49"/>
  <c r="I12" i="49"/>
  <c r="J9" i="49"/>
  <c r="L8" i="49"/>
  <c r="K16" i="49"/>
  <c r="L13" i="49"/>
  <c r="J22" i="49"/>
  <c r="I17" i="49"/>
  <c r="J14" i="49"/>
  <c r="I22" i="49"/>
  <c r="J19" i="49"/>
  <c r="I14" i="49"/>
  <c r="J11" i="49"/>
  <c r="L11" i="49" s="1"/>
  <c r="I19" i="49"/>
  <c r="K19" i="49" s="1"/>
  <c r="J16" i="49"/>
  <c r="I11" i="49"/>
  <c r="K11" i="49" s="1"/>
  <c r="J21" i="49"/>
  <c r="J152" i="12"/>
  <c r="K21" i="49" l="1"/>
  <c r="L21" i="49"/>
  <c r="L16" i="49"/>
  <c r="K13" i="49"/>
  <c r="L14" i="49"/>
  <c r="K18" i="49"/>
  <c r="K17" i="49"/>
  <c r="K14" i="49"/>
  <c r="L17" i="49"/>
  <c r="L18" i="49"/>
  <c r="K12" i="49"/>
  <c r="L12" i="49"/>
  <c r="K8" i="49"/>
  <c r="K15" i="49"/>
  <c r="L22" i="49"/>
  <c r="K20" i="49"/>
  <c r="L10" i="49"/>
  <c r="L9" i="49"/>
  <c r="L19" i="49"/>
  <c r="L20" i="49"/>
  <c r="K9" i="49"/>
  <c r="K22" i="49"/>
  <c r="L23" i="49"/>
  <c r="K23" i="49"/>
  <c r="J155" i="43"/>
  <c r="J157" i="43" s="1"/>
  <c r="J155" i="41"/>
  <c r="J157" i="41" s="1"/>
  <c r="J172" i="12"/>
  <c r="J164" i="12" s="1"/>
  <c r="J171" i="12"/>
  <c r="J170" i="12"/>
  <c r="J169" i="12"/>
  <c r="J168" i="12"/>
  <c r="J166" i="12"/>
  <c r="J165" i="12"/>
  <c r="J163" i="12"/>
  <c r="J186" i="43"/>
  <c r="J187" i="43" s="1"/>
  <c r="J189" i="43" s="1"/>
  <c r="J185" i="43"/>
  <c r="J186" i="41"/>
  <c r="J187" i="41" s="1"/>
  <c r="J189" i="41" s="1"/>
  <c r="J185" i="41"/>
  <c r="J160" i="43" l="1"/>
  <c r="J161" i="43"/>
  <c r="J160" i="41"/>
  <c r="J161" i="41"/>
  <c r="J220" i="43"/>
  <c r="J218" i="43"/>
  <c r="J217" i="43"/>
  <c r="J216" i="43"/>
  <c r="J219" i="43" s="1"/>
  <c r="J215" i="43"/>
  <c r="J214" i="43"/>
  <c r="J213" i="43"/>
  <c r="J212" i="43"/>
  <c r="J211" i="43"/>
  <c r="J210" i="43"/>
  <c r="J209" i="43"/>
  <c r="J221" i="41"/>
  <c r="J219" i="41"/>
  <c r="J218" i="41"/>
  <c r="J217" i="41"/>
  <c r="J220" i="41" s="1"/>
  <c r="J216" i="41"/>
  <c r="J215" i="41"/>
  <c r="J214" i="41"/>
  <c r="J213" i="41"/>
  <c r="J212" i="41"/>
  <c r="J211" i="41"/>
  <c r="J210" i="41"/>
  <c r="J218" i="12"/>
  <c r="J215" i="12"/>
  <c r="J214" i="12"/>
  <c r="J213" i="12"/>
  <c r="J211" i="12"/>
  <c r="J216" i="12"/>
  <c r="J212" i="12"/>
  <c r="J210" i="12"/>
  <c r="J158" i="41" l="1"/>
  <c r="J221" i="43"/>
  <c r="J222" i="41"/>
  <c r="J191" i="41"/>
  <c r="J185" i="12"/>
  <c r="J186" i="12" l="1"/>
  <c r="J159" i="12"/>
  <c r="J220" i="12"/>
  <c r="J188" i="12" l="1"/>
  <c r="J160" i="12"/>
  <c r="J180" i="12"/>
  <c r="J193" i="41" l="1"/>
  <c r="J203" i="43" l="1"/>
  <c r="J204" i="43"/>
  <c r="J202" i="41"/>
  <c r="J203" i="41" s="1"/>
  <c r="J201" i="12" l="1"/>
  <c r="J202" i="12" s="1"/>
  <c r="F6" i="55" l="1"/>
  <c r="G6" i="55" l="1"/>
  <c r="H6" i="55"/>
  <c r="H7" i="55"/>
  <c r="G7" i="55"/>
  <c r="F7" i="55"/>
  <c r="H5" i="55" l="1"/>
  <c r="G5" i="55"/>
  <c r="F5" i="55"/>
  <c r="J22" i="12" l="1"/>
  <c r="J64" i="43" l="1"/>
  <c r="J63" i="43"/>
  <c r="J62" i="43"/>
  <c r="C59" i="43"/>
  <c r="J59" i="43" s="1"/>
  <c r="J58" i="43"/>
  <c r="J57" i="43"/>
  <c r="J56" i="43"/>
  <c r="J55" i="43"/>
  <c r="J54" i="43"/>
  <c r="J53" i="43"/>
  <c r="J52" i="43"/>
  <c r="J51" i="43"/>
  <c r="J50" i="43"/>
  <c r="J49" i="43"/>
  <c r="J48" i="43"/>
  <c r="J47" i="43"/>
  <c r="J46" i="43"/>
  <c r="J43" i="43"/>
  <c r="J42" i="43"/>
  <c r="C40" i="43"/>
  <c r="C41" i="43" s="1"/>
  <c r="J41" i="43" s="1"/>
  <c r="J39" i="43"/>
  <c r="J38" i="43"/>
  <c r="J37" i="43"/>
  <c r="J36" i="43"/>
  <c r="J35" i="43"/>
  <c r="J34" i="43"/>
  <c r="J33" i="43"/>
  <c r="J32" i="43"/>
  <c r="J30" i="43"/>
  <c r="J29" i="43"/>
  <c r="J27" i="43"/>
  <c r="J28" i="43" s="1"/>
  <c r="J26" i="43"/>
  <c r="J25" i="43"/>
  <c r="J40" i="43" l="1"/>
  <c r="D21" i="21"/>
  <c r="D7" i="21"/>
  <c r="D56" i="51" l="1"/>
  <c r="C41" i="51"/>
  <c r="F39" i="51" l="1"/>
  <c r="D39" i="51"/>
  <c r="D53" i="51"/>
  <c r="D50" i="51"/>
  <c r="D47" i="51"/>
  <c r="D45" i="51"/>
  <c r="F42" i="51"/>
  <c r="D42" i="51"/>
  <c r="F46" i="51"/>
  <c r="E44" i="51"/>
  <c r="G40" i="51"/>
  <c r="C50" i="51"/>
  <c r="E41" i="51"/>
  <c r="E49" i="51"/>
  <c r="G45" i="51"/>
  <c r="C48" i="51"/>
  <c r="C40" i="51"/>
  <c r="D51" i="51"/>
  <c r="D43" i="51"/>
  <c r="E42" i="51"/>
  <c r="E46" i="51"/>
  <c r="E50" i="51"/>
  <c r="E54" i="51"/>
  <c r="E39" i="51"/>
  <c r="G42" i="51"/>
  <c r="G46" i="51"/>
  <c r="G50" i="51"/>
  <c r="G54" i="51"/>
  <c r="E52" i="51"/>
  <c r="F54" i="51"/>
  <c r="H42" i="51"/>
  <c r="H50" i="51"/>
  <c r="C46" i="51"/>
  <c r="D49" i="51"/>
  <c r="E43" i="51"/>
  <c r="E47" i="51"/>
  <c r="E51" i="51"/>
  <c r="G39" i="51"/>
  <c r="G43" i="51"/>
  <c r="G47" i="51"/>
  <c r="G51" i="51"/>
  <c r="C44" i="51"/>
  <c r="E48" i="51"/>
  <c r="C47" i="51"/>
  <c r="F50" i="51"/>
  <c r="H46" i="51"/>
  <c r="H54" i="51"/>
  <c r="C54" i="51"/>
  <c r="D41" i="51"/>
  <c r="C53" i="51"/>
  <c r="C45" i="51"/>
  <c r="D48" i="51"/>
  <c r="D40" i="51"/>
  <c r="F43" i="51"/>
  <c r="F47" i="51"/>
  <c r="F51" i="51"/>
  <c r="H39" i="51"/>
  <c r="H43" i="51"/>
  <c r="H47" i="51"/>
  <c r="H51" i="51"/>
  <c r="E40" i="51"/>
  <c r="G44" i="51"/>
  <c r="G48" i="51"/>
  <c r="G52" i="51"/>
  <c r="C51" i="51"/>
  <c r="C43" i="51"/>
  <c r="D54" i="51"/>
  <c r="D46" i="51"/>
  <c r="F40" i="51"/>
  <c r="F44" i="51"/>
  <c r="F48" i="51"/>
  <c r="F52" i="51"/>
  <c r="H40" i="51"/>
  <c r="H44" i="51"/>
  <c r="H48" i="51"/>
  <c r="H52" i="51"/>
  <c r="C52" i="51"/>
  <c r="C39" i="51"/>
  <c r="C42" i="51"/>
  <c r="E45" i="51"/>
  <c r="E53" i="51"/>
  <c r="G41" i="51"/>
  <c r="G49" i="51"/>
  <c r="G53" i="51"/>
  <c r="C49" i="51"/>
  <c r="D52" i="51"/>
  <c r="D44" i="51"/>
  <c r="F41" i="51"/>
  <c r="F45" i="51"/>
  <c r="F49" i="51"/>
  <c r="F53" i="51"/>
  <c r="H41" i="51"/>
  <c r="H45" i="51"/>
  <c r="H49" i="51"/>
  <c r="H53" i="51"/>
  <c r="P31" i="47"/>
  <c r="O31" i="47"/>
  <c r="P30" i="47"/>
  <c r="O30" i="47"/>
  <c r="P29" i="47"/>
  <c r="O29" i="47"/>
  <c r="P28" i="47"/>
  <c r="O28" i="47"/>
  <c r="P27" i="47"/>
  <c r="O27" i="47"/>
  <c r="P26" i="47"/>
  <c r="O26" i="47"/>
  <c r="P25" i="47"/>
  <c r="O25" i="47"/>
  <c r="P24" i="47"/>
  <c r="O24" i="47"/>
  <c r="P23" i="47"/>
  <c r="O23" i="47"/>
  <c r="P22" i="47"/>
  <c r="O22" i="47"/>
  <c r="P21" i="47"/>
  <c r="O21" i="47"/>
  <c r="P20" i="47"/>
  <c r="O20" i="47"/>
  <c r="P19" i="47"/>
  <c r="O19" i="47"/>
  <c r="P18" i="47"/>
  <c r="O18" i="47"/>
  <c r="P17" i="47"/>
  <c r="O17" i="47"/>
  <c r="P16" i="47"/>
  <c r="O16" i="47"/>
  <c r="P53" i="47"/>
  <c r="O53" i="47"/>
  <c r="P52" i="47"/>
  <c r="O52" i="47"/>
  <c r="P51" i="47"/>
  <c r="O51" i="47"/>
  <c r="P50" i="47"/>
  <c r="O50" i="47"/>
  <c r="P49" i="47"/>
  <c r="O49" i="47"/>
  <c r="P48" i="47"/>
  <c r="O48" i="47"/>
  <c r="P47" i="47"/>
  <c r="O47" i="47"/>
  <c r="P46" i="47"/>
  <c r="O46" i="47"/>
  <c r="P45" i="47"/>
  <c r="O45" i="47"/>
  <c r="P44" i="47"/>
  <c r="O44" i="47"/>
  <c r="P43" i="47"/>
  <c r="O43" i="47"/>
  <c r="P42" i="47"/>
  <c r="O42" i="47"/>
  <c r="P41" i="47"/>
  <c r="O41" i="47"/>
  <c r="P40" i="47"/>
  <c r="O40" i="47"/>
  <c r="P39" i="47"/>
  <c r="O39" i="47"/>
  <c r="P38" i="47"/>
  <c r="O38" i="47"/>
  <c r="P60" i="47"/>
  <c r="O60" i="47"/>
  <c r="P75" i="47"/>
  <c r="O75" i="47"/>
  <c r="P74" i="47"/>
  <c r="O74" i="47"/>
  <c r="P73" i="47"/>
  <c r="O73" i="47"/>
  <c r="P72" i="47"/>
  <c r="O72" i="47"/>
  <c r="P71" i="47"/>
  <c r="O71" i="47"/>
  <c r="P70" i="47"/>
  <c r="O70" i="47"/>
  <c r="P69" i="47"/>
  <c r="O69" i="47"/>
  <c r="P68" i="47"/>
  <c r="O68" i="47"/>
  <c r="P67" i="47"/>
  <c r="O67" i="47"/>
  <c r="P66" i="47"/>
  <c r="O66" i="47"/>
  <c r="P65" i="47"/>
  <c r="O65" i="47"/>
  <c r="P64" i="47"/>
  <c r="O64" i="47"/>
  <c r="P63" i="47"/>
  <c r="O63" i="47"/>
  <c r="P62" i="47"/>
  <c r="O62" i="47"/>
  <c r="P61" i="47"/>
  <c r="O61" i="47"/>
  <c r="G75" i="47"/>
  <c r="F75" i="47"/>
  <c r="G74" i="47"/>
  <c r="F74" i="47"/>
  <c r="G73" i="47"/>
  <c r="F73" i="47"/>
  <c r="G72" i="47"/>
  <c r="F72" i="47"/>
  <c r="G71" i="47"/>
  <c r="F71" i="47"/>
  <c r="G70" i="47"/>
  <c r="F70" i="47"/>
  <c r="G69" i="47"/>
  <c r="F69" i="47"/>
  <c r="G68" i="47"/>
  <c r="F68" i="47"/>
  <c r="G67" i="47"/>
  <c r="F67" i="47"/>
  <c r="G66" i="47"/>
  <c r="F66" i="47"/>
  <c r="G65" i="47"/>
  <c r="F65" i="47"/>
  <c r="G64" i="47"/>
  <c r="F64" i="47"/>
  <c r="G63" i="47"/>
  <c r="F63" i="47"/>
  <c r="G62" i="47"/>
  <c r="F62" i="47"/>
  <c r="G61" i="47"/>
  <c r="F61" i="47"/>
  <c r="G60" i="47"/>
  <c r="F60" i="47"/>
  <c r="G53" i="47"/>
  <c r="F53" i="47"/>
  <c r="G52" i="47"/>
  <c r="F52" i="47"/>
  <c r="G51" i="47"/>
  <c r="F51" i="47"/>
  <c r="G50" i="47"/>
  <c r="F50" i="47"/>
  <c r="G49" i="47"/>
  <c r="F49" i="47"/>
  <c r="G48" i="47"/>
  <c r="F48" i="47"/>
  <c r="G47" i="47"/>
  <c r="F47" i="47"/>
  <c r="G46" i="47"/>
  <c r="F46" i="47"/>
  <c r="G45" i="47"/>
  <c r="F45" i="47"/>
  <c r="G44" i="47"/>
  <c r="F44" i="47"/>
  <c r="G43" i="47"/>
  <c r="F43" i="47"/>
  <c r="G42" i="47"/>
  <c r="F42" i="47"/>
  <c r="G41" i="47"/>
  <c r="F41" i="47"/>
  <c r="G40" i="47"/>
  <c r="F40" i="47"/>
  <c r="G39" i="47"/>
  <c r="F39" i="47"/>
  <c r="G38" i="47"/>
  <c r="F38" i="47"/>
  <c r="G17" i="47"/>
  <c r="G18" i="47"/>
  <c r="G19" i="47"/>
  <c r="G20" i="47"/>
  <c r="G21" i="47"/>
  <c r="G22" i="47"/>
  <c r="G23" i="47"/>
  <c r="G24" i="47"/>
  <c r="G25" i="47"/>
  <c r="G26" i="47"/>
  <c r="G27" i="47"/>
  <c r="G28" i="47"/>
  <c r="G29" i="47"/>
  <c r="G30" i="47"/>
  <c r="G31" i="47"/>
  <c r="G16" i="47"/>
  <c r="F16" i="47"/>
  <c r="F17" i="47"/>
  <c r="F18" i="47"/>
  <c r="F19" i="47"/>
  <c r="F20" i="47"/>
  <c r="F21" i="47"/>
  <c r="F22" i="47"/>
  <c r="F23" i="47"/>
  <c r="F24" i="47"/>
  <c r="F25" i="47"/>
  <c r="F26" i="47"/>
  <c r="F27" i="47"/>
  <c r="F28" i="47"/>
  <c r="F29" i="47"/>
  <c r="F30" i="47"/>
  <c r="F31" i="47"/>
  <c r="O5" i="18"/>
  <c r="K6" i="18" s="1"/>
  <c r="P5" i="55" l="1"/>
  <c r="O5" i="55"/>
  <c r="E7" i="55" l="1"/>
  <c r="E5" i="55" s="1"/>
  <c r="D7" i="55"/>
  <c r="D5" i="55" s="1"/>
  <c r="C7" i="55"/>
  <c r="C5" i="55" s="1"/>
  <c r="J195" i="43" l="1"/>
  <c r="J22" i="43"/>
  <c r="J207" i="41"/>
  <c r="J194" i="41"/>
  <c r="J22" i="41"/>
  <c r="J235" i="43"/>
  <c r="J236" i="43"/>
  <c r="J237" i="43"/>
  <c r="J238" i="43"/>
  <c r="J234" i="43"/>
  <c r="J225" i="43"/>
  <c r="J226" i="43"/>
  <c r="J227" i="43"/>
  <c r="J228" i="43"/>
  <c r="J229" i="43"/>
  <c r="J230" i="43"/>
  <c r="J231" i="43"/>
  <c r="J232" i="43"/>
  <c r="J224" i="43"/>
  <c r="J233" i="41"/>
  <c r="J232" i="41"/>
  <c r="J231" i="41"/>
  <c r="J230" i="41"/>
  <c r="J229" i="41"/>
  <c r="J228" i="41"/>
  <c r="J227" i="41"/>
  <c r="J226" i="41"/>
  <c r="J225" i="41"/>
  <c r="J239" i="41"/>
  <c r="J238" i="41"/>
  <c r="J237" i="41"/>
  <c r="J236" i="41"/>
  <c r="J235" i="41"/>
  <c r="J205" i="12"/>
  <c r="J193" i="12"/>
  <c r="J206" i="43" l="1"/>
  <c r="J207" i="43" s="1"/>
  <c r="J205" i="43"/>
  <c r="J217" i="12" l="1"/>
  <c r="J219" i="12"/>
  <c r="J194" i="43" l="1"/>
  <c r="J204" i="41"/>
  <c r="J192" i="12"/>
  <c r="J203" i="12"/>
  <c r="C85" i="43" l="1"/>
  <c r="C84" i="43"/>
  <c r="C83" i="43"/>
  <c r="C82" i="43"/>
  <c r="E10" i="4"/>
  <c r="J171" i="41"/>
  <c r="J170" i="43"/>
  <c r="J171" i="43"/>
  <c r="C145" i="43" l="1"/>
  <c r="B30" i="4"/>
  <c r="C85" i="41"/>
  <c r="C84" i="41"/>
  <c r="C145" i="12" l="1"/>
  <c r="C174" i="41" l="1"/>
  <c r="J64" i="41" l="1"/>
  <c r="J63" i="41"/>
  <c r="J62" i="41"/>
  <c r="C59" i="41"/>
  <c r="J59" i="41" s="1"/>
  <c r="J58" i="41"/>
  <c r="J57" i="41"/>
  <c r="J56" i="41"/>
  <c r="J55" i="41"/>
  <c r="J54" i="41"/>
  <c r="J53" i="41"/>
  <c r="J52" i="41"/>
  <c r="J51" i="41"/>
  <c r="J50" i="41"/>
  <c r="J49" i="41"/>
  <c r="J48" i="41"/>
  <c r="J47" i="41"/>
  <c r="J46" i="41"/>
  <c r="J43" i="41"/>
  <c r="J42" i="41"/>
  <c r="C40" i="41"/>
  <c r="J40" i="41" s="1"/>
  <c r="J39" i="41"/>
  <c r="J38" i="41"/>
  <c r="J37" i="41"/>
  <c r="J36" i="41"/>
  <c r="J35" i="41"/>
  <c r="J34" i="41"/>
  <c r="J33" i="41"/>
  <c r="J32" i="41"/>
  <c r="J30" i="41"/>
  <c r="J29" i="41"/>
  <c r="J27" i="41"/>
  <c r="J28" i="41" s="1"/>
  <c r="J26" i="41"/>
  <c r="J25" i="41"/>
  <c r="C83" i="41"/>
  <c r="C82" i="41"/>
  <c r="C41" i="41" l="1"/>
  <c r="J41" i="41" s="1"/>
  <c r="C79" i="41"/>
  <c r="J64" i="12"/>
  <c r="J63" i="12"/>
  <c r="J62" i="12"/>
  <c r="C59" i="12"/>
  <c r="J59" i="12" s="1"/>
  <c r="J58" i="12"/>
  <c r="J57" i="12"/>
  <c r="J56" i="12"/>
  <c r="J55" i="12"/>
  <c r="J54" i="12"/>
  <c r="J53" i="12"/>
  <c r="J52" i="12"/>
  <c r="J51" i="12"/>
  <c r="J50" i="12"/>
  <c r="J49" i="12"/>
  <c r="J48" i="12"/>
  <c r="J47" i="12"/>
  <c r="J46" i="12"/>
  <c r="J43" i="12"/>
  <c r="J42" i="12"/>
  <c r="C40" i="12"/>
  <c r="J40" i="12" s="1"/>
  <c r="J39" i="12"/>
  <c r="J38" i="12"/>
  <c r="J37" i="12"/>
  <c r="J36" i="12"/>
  <c r="J35" i="12"/>
  <c r="J34" i="12"/>
  <c r="J33" i="12"/>
  <c r="J32" i="12"/>
  <c r="J30" i="12"/>
  <c r="J29" i="12"/>
  <c r="J27" i="12"/>
  <c r="J28" i="12" s="1"/>
  <c r="J26" i="12"/>
  <c r="J25" i="12"/>
  <c r="J238" i="12"/>
  <c r="J237" i="12"/>
  <c r="J236" i="12"/>
  <c r="J235" i="12"/>
  <c r="J234" i="12"/>
  <c r="J233" i="12"/>
  <c r="J232" i="12"/>
  <c r="J231" i="12"/>
  <c r="J230" i="12"/>
  <c r="J229" i="12"/>
  <c r="J228" i="12"/>
  <c r="J227" i="12"/>
  <c r="J226" i="12"/>
  <c r="J225" i="12"/>
  <c r="J224" i="12"/>
  <c r="J223" i="12"/>
  <c r="J209" i="12"/>
  <c r="J221" i="12" s="1"/>
  <c r="D80" i="41" l="1"/>
  <c r="D85" i="41"/>
  <c r="J85" i="41" s="1"/>
  <c r="D83" i="41"/>
  <c r="J83" i="41" s="1"/>
  <c r="C41" i="12"/>
  <c r="J41" i="12" s="1"/>
  <c r="J146" i="12"/>
  <c r="J145" i="12" s="1"/>
  <c r="C173" i="12" l="1"/>
  <c r="J184" i="12" l="1"/>
  <c r="J154" i="12"/>
  <c r="J156" i="12" s="1"/>
  <c r="C84" i="12" l="1"/>
  <c r="C82" i="12"/>
  <c r="C66" i="12"/>
  <c r="D70" i="12" s="1"/>
  <c r="D67" i="12" l="1"/>
  <c r="E8" i="4" l="1"/>
  <c r="B31" i="4"/>
  <c r="B29" i="4"/>
  <c r="B26" i="4"/>
  <c r="B24" i="4"/>
  <c r="B25" i="4" l="1"/>
  <c r="E5" i="4"/>
  <c r="E7" i="4"/>
  <c r="B27" i="4" s="1"/>
  <c r="J97" i="43"/>
  <c r="J96" i="43"/>
  <c r="C151" i="43"/>
  <c r="C174" i="43" l="1"/>
  <c r="J182" i="43"/>
  <c r="J158" i="43" s="1"/>
  <c r="J151" i="43" l="1"/>
  <c r="K5" i="18"/>
  <c r="C15" i="43"/>
  <c r="C14" i="43"/>
  <c r="C66" i="43"/>
  <c r="C80" i="43"/>
  <c r="D104" i="43"/>
  <c r="D105" i="43"/>
  <c r="D106" i="43"/>
  <c r="D103" i="43"/>
  <c r="J193" i="43" l="1"/>
  <c r="J191" i="43"/>
  <c r="J241" i="43" l="1"/>
  <c r="J252" i="43" s="1"/>
  <c r="J240" i="43"/>
  <c r="J250" i="43" s="1"/>
  <c r="J201" i="43"/>
  <c r="J200" i="43"/>
  <c r="J199" i="43"/>
  <c r="J198" i="43"/>
  <c r="J208" i="43" s="1"/>
  <c r="J192" i="43"/>
  <c r="J196" i="43" s="1"/>
  <c r="C180" i="43"/>
  <c r="J180" i="43" s="1"/>
  <c r="J173" i="43"/>
  <c r="J165" i="43" s="1"/>
  <c r="J172" i="43"/>
  <c r="J169" i="43"/>
  <c r="J167" i="43"/>
  <c r="J166" i="43"/>
  <c r="J164" i="43"/>
  <c r="J154" i="43"/>
  <c r="J145" i="43" s="1"/>
  <c r="J106" i="43"/>
  <c r="J105" i="43"/>
  <c r="J104" i="43"/>
  <c r="J103" i="43"/>
  <c r="C98" i="43"/>
  <c r="J98" i="43" s="1"/>
  <c r="J149" i="43" l="1"/>
  <c r="J152" i="43" s="1"/>
  <c r="C79" i="43"/>
  <c r="J251" i="43"/>
  <c r="D83" i="43" l="1"/>
  <c r="J83" i="43" s="1"/>
  <c r="D84" i="43"/>
  <c r="J84" i="43" s="1"/>
  <c r="J179" i="43" s="1"/>
  <c r="J150" i="43" s="1"/>
  <c r="D82" i="43"/>
  <c r="J82" i="43" s="1"/>
  <c r="D85" i="43"/>
  <c r="J85" i="43" s="1"/>
  <c r="D94" i="43"/>
  <c r="J94" i="43" s="1"/>
  <c r="J95" i="43" s="1"/>
  <c r="C21" i="43"/>
  <c r="D80" i="43"/>
  <c r="J80" i="43" s="1"/>
  <c r="D92" i="43"/>
  <c r="J92" i="43" s="1"/>
  <c r="J93" i="43" s="1"/>
  <c r="D90" i="43"/>
  <c r="J90" i="43" s="1"/>
  <c r="J91" i="43" s="1"/>
  <c r="D81" i="43"/>
  <c r="J81" i="43" s="1"/>
  <c r="D86" i="43"/>
  <c r="J86" i="43" s="1"/>
  <c r="J87" i="43" s="1"/>
  <c r="D88" i="43"/>
  <c r="J88" i="43" s="1"/>
  <c r="J89" i="43" s="1"/>
  <c r="D70" i="43" l="1"/>
  <c r="J70" i="43" s="1"/>
  <c r="J71" i="43" s="1"/>
  <c r="D74" i="43"/>
  <c r="J74" i="43" s="1"/>
  <c r="J75" i="43" s="1"/>
  <c r="D76" i="43"/>
  <c r="J76" i="43" s="1"/>
  <c r="D69" i="43"/>
  <c r="J69" i="43" s="1"/>
  <c r="D72" i="43"/>
  <c r="J72" i="43" s="1"/>
  <c r="J73" i="43" s="1"/>
  <c r="D67" i="43"/>
  <c r="J67" i="43" s="1"/>
  <c r="J68" i="43" s="1"/>
  <c r="C20" i="43"/>
  <c r="C4" i="43" s="1"/>
  <c r="D21" i="43" s="1"/>
  <c r="J21" i="43" s="1"/>
  <c r="C144" i="41"/>
  <c r="J97" i="41"/>
  <c r="J96" i="41"/>
  <c r="C154" i="41" l="1"/>
  <c r="C98" i="41"/>
  <c r="J98" i="41" s="1"/>
  <c r="D9" i="43" l="1"/>
  <c r="J9" i="43" s="1"/>
  <c r="J10" i="43" s="1"/>
  <c r="D11" i="43"/>
  <c r="J11" i="43" s="1"/>
  <c r="D19" i="43"/>
  <c r="J19" i="43" s="1"/>
  <c r="D16" i="43"/>
  <c r="J16" i="43" s="1"/>
  <c r="J17" i="43" s="1"/>
  <c r="D18" i="43"/>
  <c r="J18" i="43" s="1"/>
  <c r="D5" i="43"/>
  <c r="J5" i="43" s="1"/>
  <c r="J6" i="43" s="1"/>
  <c r="D12" i="43"/>
  <c r="J12" i="43" s="1"/>
  <c r="J13" i="43" s="1"/>
  <c r="D7" i="43"/>
  <c r="J7" i="43" s="1"/>
  <c r="J8" i="43" s="1"/>
  <c r="D14" i="43"/>
  <c r="J14" i="43" s="1"/>
  <c r="D15" i="43"/>
  <c r="J15" i="43" s="1"/>
  <c r="D20" i="43"/>
  <c r="J20" i="43" s="1"/>
  <c r="C66" i="41" l="1"/>
  <c r="D67" i="41" l="1"/>
  <c r="D69" i="41"/>
  <c r="D70" i="41"/>
  <c r="D72" i="41"/>
  <c r="D74" i="41"/>
  <c r="D76" i="41"/>
  <c r="J21" i="41" l="1"/>
  <c r="J242" i="41"/>
  <c r="J253" i="41" s="1"/>
  <c r="J241" i="41"/>
  <c r="J206" i="41"/>
  <c r="J209" i="41" s="1"/>
  <c r="J201" i="41"/>
  <c r="J200" i="41"/>
  <c r="J199" i="41"/>
  <c r="J198" i="41"/>
  <c r="J208" i="41" s="1"/>
  <c r="J192" i="41"/>
  <c r="J196" i="41" s="1"/>
  <c r="C180" i="41"/>
  <c r="J180" i="41" s="1"/>
  <c r="J181" i="41"/>
  <c r="J173" i="41"/>
  <c r="J165" i="41" s="1"/>
  <c r="J172" i="41"/>
  <c r="J170" i="41"/>
  <c r="J169" i="41"/>
  <c r="J167" i="41"/>
  <c r="J166" i="41"/>
  <c r="J164" i="41"/>
  <c r="J154" i="41"/>
  <c r="J149" i="41" s="1"/>
  <c r="J152" i="41" s="1"/>
  <c r="C151" i="41"/>
  <c r="J151" i="41" s="1"/>
  <c r="C100" i="41"/>
  <c r="D103" i="41" l="1"/>
  <c r="J103" i="41" s="1"/>
  <c r="D104" i="41"/>
  <c r="J104" i="41" s="1"/>
  <c r="D106" i="41"/>
  <c r="J106" i="41" s="1"/>
  <c r="D105" i="41"/>
  <c r="J105" i="41" s="1"/>
  <c r="J80" i="41"/>
  <c r="D86" i="41"/>
  <c r="J86" i="41" s="1"/>
  <c r="J87" i="41" s="1"/>
  <c r="D84" i="41"/>
  <c r="D88" i="41"/>
  <c r="J88" i="41" s="1"/>
  <c r="J89" i="41" s="1"/>
  <c r="D92" i="41"/>
  <c r="J92" i="41" s="1"/>
  <c r="J93" i="41" s="1"/>
  <c r="D90" i="41"/>
  <c r="J90" i="41" s="1"/>
  <c r="J91" i="41" s="1"/>
  <c r="D81" i="41"/>
  <c r="J81" i="41" s="1"/>
  <c r="D94" i="41"/>
  <c r="J94" i="41" s="1"/>
  <c r="J95" i="41" s="1"/>
  <c r="J251" i="41"/>
  <c r="J252" i="41" s="1"/>
  <c r="D82" i="41"/>
  <c r="J82" i="41" s="1"/>
  <c r="J84" i="41" l="1"/>
  <c r="J179" i="41" s="1"/>
  <c r="J150" i="41" s="1"/>
  <c r="J74" i="41" l="1"/>
  <c r="J75" i="41" s="1"/>
  <c r="J69" i="41"/>
  <c r="J67" i="41"/>
  <c r="J68" i="41" s="1"/>
  <c r="J70" i="41"/>
  <c r="J71" i="41" s="1"/>
  <c r="J72" i="41"/>
  <c r="J73" i="41" s="1"/>
  <c r="J76" i="41"/>
  <c r="J20" i="41" l="1"/>
  <c r="K7" i="32"/>
  <c r="J16" i="41" l="1"/>
  <c r="J17" i="41" s="1"/>
  <c r="J12" i="41"/>
  <c r="J13" i="41" s="1"/>
  <c r="J19" i="41"/>
  <c r="J5" i="41"/>
  <c r="J6" i="41" s="1"/>
  <c r="J9" i="41"/>
  <c r="J10" i="41" s="1"/>
  <c r="J18" i="41"/>
  <c r="J7" i="41"/>
  <c r="J8" i="41" s="1"/>
  <c r="J11" i="41"/>
  <c r="J15" i="41"/>
  <c r="J14" i="41"/>
  <c r="K5" i="32"/>
  <c r="D32" i="32" l="1"/>
  <c r="D33" i="32"/>
  <c r="J110" i="12" l="1"/>
  <c r="J108" i="12"/>
  <c r="J240" i="12" l="1"/>
  <c r="J241" i="12"/>
  <c r="J252" i="12" s="1"/>
  <c r="J111" i="12"/>
  <c r="J109" i="12"/>
  <c r="J206" i="12" l="1"/>
  <c r="G13" i="18" l="1"/>
  <c r="K13" i="18" s="1"/>
  <c r="M13" i="18" s="1"/>
  <c r="G16" i="18"/>
  <c r="J151" i="12"/>
  <c r="J179" i="12"/>
  <c r="K9" i="18"/>
  <c r="M9" i="18" s="1"/>
  <c r="K10" i="18"/>
  <c r="K11" i="18"/>
  <c r="M11" i="18" s="1"/>
  <c r="K12" i="18"/>
  <c r="M12" i="18" s="1"/>
  <c r="M6" i="18"/>
  <c r="K7" i="18"/>
  <c r="M7" i="18" s="1"/>
  <c r="K8" i="18"/>
  <c r="M8" i="18" s="1"/>
  <c r="M5" i="18"/>
  <c r="L6" i="18" l="1"/>
  <c r="M10" i="18"/>
  <c r="J208" i="12"/>
  <c r="J107" i="12" l="1"/>
  <c r="J96" i="12" l="1"/>
  <c r="J23" i="12"/>
  <c r="C98" i="12"/>
  <c r="J98" i="12" s="1"/>
  <c r="J104" i="12"/>
  <c r="J105" i="12"/>
  <c r="J106" i="12"/>
  <c r="J103" i="12"/>
  <c r="J97" i="12"/>
  <c r="J250" i="12" l="1"/>
  <c r="J251" i="12" s="1"/>
  <c r="J239" i="12"/>
  <c r="J194" i="12" l="1"/>
  <c r="J198" i="12" l="1"/>
  <c r="J199" i="12"/>
  <c r="J200" i="12"/>
  <c r="J197" i="12"/>
  <c r="J207" i="12" s="1"/>
  <c r="J191" i="12"/>
  <c r="J190" i="12"/>
  <c r="J195" i="12" s="1"/>
  <c r="D176" i="12"/>
  <c r="D183" i="12" l="1"/>
  <c r="D174" i="12"/>
  <c r="D175" i="12"/>
  <c r="C88" i="12"/>
  <c r="C86" i="12"/>
  <c r="C100" i="12"/>
  <c r="C104" i="12" s="1"/>
  <c r="C7" i="12"/>
  <c r="C11" i="12"/>
  <c r="C15" i="12"/>
  <c r="C14" i="12"/>
  <c r="C79" i="12" l="1"/>
  <c r="C103" i="12"/>
  <c r="C106" i="12"/>
  <c r="C105" i="12"/>
  <c r="J84" i="12" l="1"/>
  <c r="J178" i="12" s="1"/>
  <c r="J85" i="12"/>
  <c r="J157" i="12"/>
  <c r="D83" i="12"/>
  <c r="J83" i="12" s="1"/>
  <c r="D82" i="12"/>
  <c r="J82" i="12" s="1"/>
  <c r="D85" i="12"/>
  <c r="D84" i="12"/>
  <c r="C21" i="12"/>
  <c r="D88" i="12"/>
  <c r="J88" i="12" s="1"/>
  <c r="J89" i="12" s="1"/>
  <c r="D90" i="12"/>
  <c r="J90" i="12" s="1"/>
  <c r="J91" i="12" s="1"/>
  <c r="D94" i="12"/>
  <c r="J94" i="12" s="1"/>
  <c r="J95" i="12" s="1"/>
  <c r="D81" i="12"/>
  <c r="J81" i="12" s="1"/>
  <c r="D92" i="12"/>
  <c r="J92" i="12" s="1"/>
  <c r="J93" i="12" s="1"/>
  <c r="D86" i="12"/>
  <c r="J86" i="12" s="1"/>
  <c r="J87" i="12" s="1"/>
  <c r="D80" i="12"/>
  <c r="J80" i="12" s="1"/>
  <c r="J150" i="12" l="1"/>
  <c r="J67" i="12" l="1"/>
  <c r="J68" i="12" s="1"/>
  <c r="D74" i="12"/>
  <c r="J74" i="12" s="1"/>
  <c r="J75" i="12" s="1"/>
  <c r="D69" i="12"/>
  <c r="J69" i="12" s="1"/>
  <c r="D72" i="12"/>
  <c r="D76" i="12"/>
  <c r="C20" i="12"/>
  <c r="C4" i="12" s="1"/>
  <c r="D21" i="12" s="1"/>
  <c r="J21" i="12" s="1"/>
  <c r="J70" i="12" l="1"/>
  <c r="J71" i="12" s="1"/>
  <c r="J76" i="12"/>
  <c r="J72" i="12"/>
  <c r="J73" i="12" s="1"/>
  <c r="D11" i="12" l="1"/>
  <c r="J11" i="12" s="1"/>
  <c r="D5" i="12"/>
  <c r="J5" i="12" s="1"/>
  <c r="D7" i="12"/>
  <c r="J7" i="12" s="1"/>
  <c r="J8" i="12" s="1"/>
  <c r="D15" i="12"/>
  <c r="J15" i="12" s="1"/>
  <c r="D16" i="12"/>
  <c r="J16" i="12" s="1"/>
  <c r="J17" i="12" s="1"/>
  <c r="D14" i="12"/>
  <c r="J14" i="12" s="1"/>
  <c r="D18" i="12"/>
  <c r="J18" i="12" s="1"/>
  <c r="D9" i="12"/>
  <c r="J9" i="12" s="1"/>
  <c r="J10" i="12" s="1"/>
  <c r="D12" i="12"/>
  <c r="D19" i="12"/>
  <c r="J19" i="12" s="1"/>
  <c r="D20" i="12"/>
  <c r="J20" i="12" s="1"/>
  <c r="J6" i="12" l="1"/>
  <c r="J12" i="12"/>
  <c r="J13" i="12" s="1"/>
</calcChain>
</file>

<file path=xl/sharedStrings.xml><?xml version="1.0" encoding="utf-8"?>
<sst xmlns="http://schemas.openxmlformats.org/spreadsheetml/2006/main" count="6354" uniqueCount="1208">
  <si>
    <t>unitName</t>
  </si>
  <si>
    <t>amount</t>
  </si>
  <si>
    <t>comment</t>
  </si>
  <si>
    <t>kg</t>
  </si>
  <si>
    <t>kWh</t>
  </si>
  <si>
    <t>FromTechnosphere</t>
  </si>
  <si>
    <t>ToEnvironment</t>
  </si>
  <si>
    <t>ReferenceProduct</t>
  </si>
  <si>
    <t>anode</t>
  </si>
  <si>
    <t>separator</t>
  </si>
  <si>
    <t>electrolyte</t>
  </si>
  <si>
    <t>NMC111 battery cell</t>
  </si>
  <si>
    <t>aluminium, wrought alloy</t>
  </si>
  <si>
    <t>sheet rolling, aluminium</t>
  </si>
  <si>
    <t>sheet rolling, copper</t>
  </si>
  <si>
    <t>sodium hydroxide, without water, in 50% solution state</t>
  </si>
  <si>
    <t>chemical factory, organics</t>
  </si>
  <si>
    <t>water, deionised</t>
  </si>
  <si>
    <t>carbon black</t>
  </si>
  <si>
    <t xml:space="preserve">electricity, medium voltage </t>
  </si>
  <si>
    <t>heat, district or industrial, natural gas</t>
  </si>
  <si>
    <t>MJ</t>
  </si>
  <si>
    <t>unit</t>
  </si>
  <si>
    <t>Acetone</t>
  </si>
  <si>
    <t xml:space="preserve">acetone, liquid </t>
  </si>
  <si>
    <t xml:space="preserve">silica sand </t>
  </si>
  <si>
    <t xml:space="preserve">hexafluoroethane </t>
  </si>
  <si>
    <t xml:space="preserve">phthalic anhydride </t>
  </si>
  <si>
    <t>polyvinylfluoride (proxy for PVDF)</t>
  </si>
  <si>
    <t xml:space="preserve">residue from shredder fraction from manual dismantling </t>
  </si>
  <si>
    <t>Reference Product</t>
  </si>
  <si>
    <t>sheet rolling, steel</t>
  </si>
  <si>
    <t>Water</t>
  </si>
  <si>
    <t>MnSO4</t>
  </si>
  <si>
    <t>CoSO4</t>
  </si>
  <si>
    <t>NaOH</t>
  </si>
  <si>
    <t>FromEnvironment</t>
  </si>
  <si>
    <t>MJ/kg</t>
  </si>
  <si>
    <t>CO2</t>
  </si>
  <si>
    <t>water</t>
  </si>
  <si>
    <t>Dai et al. 2019</t>
  </si>
  <si>
    <t>Carbon dioxide, fossil</t>
  </si>
  <si>
    <t>gal/ton</t>
  </si>
  <si>
    <t>nickel cobalt manganese 111 hydroxide, from sulfate precursors</t>
  </si>
  <si>
    <t>lithium carbonate</t>
  </si>
  <si>
    <t>electricity, medium voltage</t>
  </si>
  <si>
    <t>nickel sulfate</t>
  </si>
  <si>
    <t>manganese sulfate</t>
  </si>
  <si>
    <t>cobalt sulfate</t>
  </si>
  <si>
    <t>IVL 2019</t>
  </si>
  <si>
    <t>https://www.researchgate.net/post/How_much_of_NMP_should_be_added_to_get_a_good_quality_of_slurry_for_spinel_cathode_material_LiMn2O4_for_Li-ion_battery</t>
  </si>
  <si>
    <t>latex</t>
  </si>
  <si>
    <t>styrene butadiene</t>
  </si>
  <si>
    <t>copper</t>
  </si>
  <si>
    <t>wastewater, average</t>
  </si>
  <si>
    <t>m3</t>
  </si>
  <si>
    <t>coal tar pitch</t>
  </si>
  <si>
    <t>SOx</t>
  </si>
  <si>
    <t>NOx</t>
  </si>
  <si>
    <t>original name</t>
  </si>
  <si>
    <t>original unit</t>
  </si>
  <si>
    <t>NMC111 battery pack</t>
  </si>
  <si>
    <t>Ecoinvent unit</t>
  </si>
  <si>
    <t xml:space="preserve">Module compression plates and straps: Steel </t>
  </si>
  <si>
    <t>Electronic parts: Battery pack heater</t>
  </si>
  <si>
    <t xml:space="preserve">Electronic parts: BMS </t>
  </si>
  <si>
    <t xml:space="preserve">Electronic parts: Module interconnect </t>
  </si>
  <si>
    <t>Electricity pack assembly</t>
  </si>
  <si>
    <t>Battery pack</t>
  </si>
  <si>
    <t>-</t>
  </si>
  <si>
    <t>NMC111 cell</t>
  </si>
  <si>
    <t>NMC111 battery module</t>
  </si>
  <si>
    <t>Battery module</t>
  </si>
  <si>
    <t>aluminium current collector</t>
  </si>
  <si>
    <t>Battery jacket: Aluminium (97%)</t>
  </si>
  <si>
    <t>Battery jacket: Plastic (3%)</t>
  </si>
  <si>
    <t>Battery pack terminals: Copper (75%)</t>
  </si>
  <si>
    <t>Coolant: ethylene glycol (50%)</t>
  </si>
  <si>
    <t>Coolant: water (50%)</t>
  </si>
  <si>
    <t>Module terminal: Copper (80%)</t>
  </si>
  <si>
    <t>Module terminal: plastic insulation (20%)</t>
  </si>
  <si>
    <t xml:space="preserve">Heat conductor: Aluminium </t>
  </si>
  <si>
    <t>%</t>
  </si>
  <si>
    <t>Module enclosure: Aluminium</t>
  </si>
  <si>
    <t>Spacer for gas release: polyethylene</t>
  </si>
  <si>
    <t>Energy module assembly</t>
  </si>
  <si>
    <t>cathode</t>
  </si>
  <si>
    <t>cathode paste/slurry</t>
  </si>
  <si>
    <t>lithium hexafluorophosphate</t>
  </si>
  <si>
    <t>ethylene carbonate</t>
  </si>
  <si>
    <t>dimethyl carbonate</t>
  </si>
  <si>
    <t>2.4% of electrolyte</t>
  </si>
  <si>
    <t>synthetic graphite</t>
  </si>
  <si>
    <t xml:space="preserve">carboxymethyl cellulose </t>
  </si>
  <si>
    <t>carboxymethyl cellulose, powder</t>
  </si>
  <si>
    <t>ton</t>
  </si>
  <si>
    <t>natural gas</t>
  </si>
  <si>
    <t>electricity</t>
  </si>
  <si>
    <t>PVDF</t>
  </si>
  <si>
    <t>NMC(OH)2 (precursor)</t>
  </si>
  <si>
    <t xml:space="preserve">Dai et al., 2019 </t>
  </si>
  <si>
    <t>Dai et al., 2017</t>
  </si>
  <si>
    <t>Dai et al., 2019</t>
  </si>
  <si>
    <t>Dunn et al., 2015</t>
  </si>
  <si>
    <t>Cerdas et al., 2019</t>
  </si>
  <si>
    <t xml:space="preserve">Brief ref. </t>
  </si>
  <si>
    <t xml:space="preserve">Full ref. </t>
  </si>
  <si>
    <t>Source</t>
  </si>
  <si>
    <t>internal fasteners</t>
  </si>
  <si>
    <t xml:space="preserve">MJ/kg </t>
  </si>
  <si>
    <t>cell container: aluminium</t>
  </si>
  <si>
    <t>cell container: aluminium positive terminal</t>
  </si>
  <si>
    <t>cell container: copper negative terminal</t>
  </si>
  <si>
    <t>PEFCR 2018</t>
  </si>
  <si>
    <t>Link</t>
  </si>
  <si>
    <t>cell container: plastic PET</t>
  </si>
  <si>
    <t>cell container: plastic PP</t>
  </si>
  <si>
    <t>Solvionic 2019</t>
  </si>
  <si>
    <t>IVL 2017</t>
  </si>
  <si>
    <t>https://en.solvionic.com/products/1m-lipf6-in-ec-dmc-1-1-vol.-with-2wt.-vc-99.9</t>
  </si>
  <si>
    <t>EC:DMD 1:1; 42.5% of electrolyte</t>
  </si>
  <si>
    <t>12.6% of electrolyte. 15.2% originally from Dai et al. 2019, adjusted to include VC in the solution.</t>
  </si>
  <si>
    <t>Dai et al. 2019; Solvionic 2019</t>
  </si>
  <si>
    <t>Dai et al. 2017</t>
  </si>
  <si>
    <t>0.96-1</t>
  </si>
  <si>
    <t>kg/kWh</t>
  </si>
  <si>
    <t>Deng et al. 2017: recovery rate of NMP (=evaporation rate) of 99.5%</t>
  </si>
  <si>
    <t>kWh/kg</t>
  </si>
  <si>
    <t>anode paste/slurry</t>
  </si>
  <si>
    <t>(Si coating for anode)</t>
  </si>
  <si>
    <t>copper foil</t>
  </si>
  <si>
    <t>56-71</t>
  </si>
  <si>
    <t>MJ/kWh</t>
  </si>
  <si>
    <t>energy for cathode drying and NMP recovery, from steam, from natural gas</t>
  </si>
  <si>
    <t>N-methyl-2-pyrrolidone</t>
  </si>
  <si>
    <t>N-methyl-2-pyrrolidone (evaporated/recovered)</t>
  </si>
  <si>
    <t>energy for calcination process, from electricity</t>
  </si>
  <si>
    <t>g/ton</t>
  </si>
  <si>
    <t>mmBtu/ton</t>
  </si>
  <si>
    <t>Pettinger &amp; Dong, 2019</t>
  </si>
  <si>
    <t>Ahmed et al., 2016</t>
  </si>
  <si>
    <t>Na2SO4</t>
  </si>
  <si>
    <t>energy for co-precipitation process (reactor heating), ammonia stripping and evaporation), from heat/natural gas</t>
  </si>
  <si>
    <t>energy for co-precipitation step, from electricity</t>
  </si>
  <si>
    <t>H2O (from reaction)</t>
  </si>
  <si>
    <t>N-methyl-2-pyrrolidone (NMP)</t>
  </si>
  <si>
    <t>Li-NMC-O2 (active material)</t>
  </si>
  <si>
    <t>reinforcing steel</t>
  </si>
  <si>
    <t>kg/kg anode</t>
  </si>
  <si>
    <t>Majeau Bettez et al. 2011</t>
  </si>
  <si>
    <t xml:space="preserve">pet coke </t>
  </si>
  <si>
    <t>petroleum coke</t>
  </si>
  <si>
    <t>graphite, synthetic, for Li-ion battery</t>
  </si>
  <si>
    <t>polyvinylfluoride [kg]</t>
  </si>
  <si>
    <t>Nitrogen oxides</t>
  </si>
  <si>
    <t>Reference product</t>
  </si>
  <si>
    <t>cobalt</t>
  </si>
  <si>
    <t>nitrogen, liquid</t>
  </si>
  <si>
    <t>sulfuric acid</t>
  </si>
  <si>
    <t>tap water</t>
  </si>
  <si>
    <t>Water, well, in ground</t>
  </si>
  <si>
    <t>Water, cooling, unspecified natural origin</t>
  </si>
  <si>
    <t>Water, river</t>
  </si>
  <si>
    <t>Nitrogen</t>
  </si>
  <si>
    <t>ToEnvironment, to air</t>
  </si>
  <si>
    <t>ToEnvironment, to water</t>
  </si>
  <si>
    <t>Calculated based on literature data published by the industry. This value is a 5-year average of data (2011 - 2015) published by the Gendorf factory (Gendorf, 2016, Umwelterklärung, www.gendorf.de),  (Gendorf, 2015, Umwelterklärung, www.gendorf.de),  (Gendorf, 2014, Umwelterklärung, www.gendorf.de). The amount of electricity per kg of chemical substance produced is calculated using literature data published by the Gendorf factory based in Germany producing a wide range of chemical substances. The factory produced 1657400 tonnes of chemical substances in the year 2015 (Gendorf, 2016, Umwelterklärung, www.gendorf.de) and 740000 tonnes of intermediate products. The amount of electricity consumed in the year 2015 was 3498800 GJ (Gendorf, 2016, Umwelterklärung, www.gendorf.de). The resulting amount of electricity is 0.406kWh/kg (year 2015) of chemical product produced. The 5 year average (2011 - 2015, weighted by production volume) is then 0.416kWh/kg. Cross-reference: The amount of chemicals produced (excluding intermediate products) in the EU-28 in the year 2011 was 327 million tonnes (Eurostat, http://ec.europa.eu/eurostat/statistics-explained/index.php/Chemicals_production_statistics, accessed 20170126). The chemical and petrochemical industry sector consumed 2.33 EJ of energy in 2011 (European Commission - Joint Research Centre, 2014, BAT on Common Waste water and Waste Gas Treatment/Management Systems in the Chemical Sector). The resulting energy (both heat and electricity) consumed per kg of chemicals produced in 2011 is thus 7.13 MJ/kg. This is higher than the value calculated using data published by Gendorf – 3.85 MJ/kg, but that is to be expected as the intermediate products are not accounted for.</t>
  </si>
  <si>
    <t xml:space="preserve">Calculated based on literature data published by the industry. This value is a 5-year average of data (2011 - 2015) published by the Gendorf factory (Gendorf, 2016, Umwelterklärung, www.gendorf.de),  (Gendorf, 2015, Umwelterklärung, www.gendorf.de),  (Gendorf, 2014, Umwelterklärung, www.gendorf.de). The amount of heat used per kg of chemical substance produced is calculated using literature data published by the Gendorf factory based in Germany producing a wide range of chemical substances. The factory produced 1657400 tonnes of chemical substances in the year 2015 (Gendorf, 2016, Umwelterklärung, www.gendorf.de) and 740000 tonnes of intermediate products. The amount of heat (externaly sourced steam and internally generated heat) in the year 2015 was 523500 GJ (Gendorf, 2016, Umwelterklärung, www.gendorf.de). The resulting amount of heat is 2.24MJ/kg of chemical product produced. The 5-year average (2011 - 2015, weighted by production volume) is then 2.35MJ/kg. Cross-reference: The amount of chemicals produced (excluding intermediate products) in the EU-28 in the year 2011 was 327 million tonnes (Eurostat, http://ec.europa.eu/eurostat/statistics-explained/index.php/Chemicals_production_statistics, accessed 20170126). The chemical and petrochemical industry sector consumed 2.33 EJ of energy in 2011 (European Commission - Joint Research Centre, 2014, BAT on Common Waste water and Waste Gas Treatment/Management Systems in the Chemical Sector). The resulting energy (both heat and electricity) consumed per kg of chemicals produced in 2011 is thus 7.13 MJ/kg. This is higher than the value calculated using data published by Gendorf – 3.85 MJ/kg, but that is to be expected as the intermediate products are not accounted for. </t>
  </si>
  <si>
    <t>Calculated based on literature data published by the industry. This value is a 5-year average of data (2011 - 2015) published by the Gendorf factory (Gendorf, 2016, Umwelterklärung, www.gendorf.de),  (Gendorf, 2015, Umwelterklärung, www.gendorf.de),  (Gendorf, 2014, Umwelterklärung, www.gendorf.de). The amount of tap water per kg of chemical substance produced is calculated using literature data published by the Gendorf factory based in Germany producing a wide range of chemical substances. The factory produced 1657400 tonnes of chemical substances in the year 2015 (Gendorf, 2016, Umwelterklärung, www.gendorf.de) and 740000 tonnes of intermediate products. The amount of tap water consumed in the year 2015 was 55100 tonnes (Gendorf, 2016, Umwelterklärung, www.gendorf.de). The resulting amount of tap water is 0.023kg/kg of chemical product produced. The 5-year average (2011 - 2015, weighted by production volume) is then 0.026kg/kg.</t>
  </si>
  <si>
    <t>Calculated based on literature data published by the industry. This value is a 5-year average of data (2011 - 2015) published by the Gendorf factory (Gendorf, 2016, Umwelterklärung, www.gendorf.de),  (Gendorf, 2015, Umwelterklärung, www.gendorf.de),  (Gendorf, 2014, Umwelterklärung, www.gendorf.de). The amount of nitrogen used per kg of chemical substance produced is calculated using literature data published by the Gendorf factory based in Germany producing a wide range of chemical substances. The factory produced 1657400 tonnes of chemical substances in the year 2015 (Gendorf, 2016, Umwelterklärung, www.gendorf.de) and 740000 tonnes of intermediate products. The reported amount of nitrogen used in 2015 was 33512400 Nm3 (Gendorf, 2016, Umwelterklärung, www.gendorf.de). One Nm3 of nitrogen is equal to 1.2506 kg. The resulting amount of nitrogen - the 5-year average (2011 - 2015, weighted by production volume) is then 0.019kg/kg. Nitrogen is mainly used during production of chemicals for so called "blanketing". Blanketing is the process of applying gas to the vapour space of a container or vessel in order to control its composition.</t>
  </si>
  <si>
    <t>Calculated based on literature data published by the industry. This value is a 5-year average of data (2011 - 2015) published by the Gendorf factory (Gendorf, 2016, Umwelterklärung, www.gendorf.de),  (Gendorf, 2015, Umwelterklärung, www.gendorf.de),  (Gendorf, 2014, Umwelterklärung, www.gendorf.de). The amount of water for cooling extracted per kg of chemical substance produced is calculated using literature data published by the Gendorf factory based in Germany producing a wide range of chemical substances. The factory produced 1657400 tonnes of chemical substances in the year 2015 (Gendorf, 2016, Umwelterklärung, www.gendorf.de) and 740000 tonnes of intermediate products. The reported amounts of water extracted as ground water and surface water (river) are assumed to be used entirely for cooling purposes.</t>
  </si>
  <si>
    <t>Calculated based on literature data published by the industry. This value is a 5-year average of data (2011 - 2015) published by the Gendorf factory (Gendorf, 2016, Umwelterklärung, www.gendorf.de),  (Gendorf, 2015, Umwelterklärung, www.gendorf.de),  (Gendorf, 2014, Umwelterklärung, www.gendorf.de). The amount of ground water and surface water (river) extracted per kg of chemical substance produced is calculated using literature data published by the Gendorf factory based in Germany producing a wide range of chemical substances. The factory produced 1657400 tonnes of chemical substances in the year 2015 (Gendorf, 2016, Umwelterklärung, www.gendorf.de) and 740000 tonnes of intermediate products. The amount of ground water and surface water (river) extracted in the year 2015 was 19950000 tonnes and 21488100 tonnes (Gendorf, 2016, Umwelterklärung, www.gendorf.de).</t>
  </si>
  <si>
    <t xml:space="preserve">Calculated to ensure the water balance. In general, in the case of recirculating cooling systems, 77% of the water from the input evaporates to air. In case of once-through cooling systems, 4% of the water from the input evaporates to air. The process water has in the chemical industry an average evaporation rate of 20.5%. In the specific case of the Gendorf factory, the calculated evaporation rate based on the data published is 6.3%. This matches the qualitative information, that the majority of the cooling systems in Gendorf are once-through and that the amount of cooling water used is significantly higher than the amount of process water used (Gendorf, 2016, Umwelterklärung, www.gendorf.de). </t>
  </si>
  <si>
    <t>Calculated based on literature data published by the industry (Gendorf, 2016, Umwelterklärung, www.gendorf.de). The amount of water released back to the environment consists of the amount of process water treated in the internal WWTP and then released back to the environment and the amount of cooling water released back to the environment.</t>
  </si>
  <si>
    <t>Waste</t>
  </si>
  <si>
    <t>process efficiency</t>
  </si>
  <si>
    <t xml:space="preserve">Swensontechnology, 2020. Available at: http://www.swensontechnology.com/colbalt-sulfate/ (accessed 12.03.2020); </t>
  </si>
  <si>
    <t>Swensontechnology, 2020</t>
  </si>
  <si>
    <t>Danaldson &amp; Beyersmann, 2000</t>
  </si>
  <si>
    <t>Cobalt</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</si>
  <si>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</si>
  <si>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 xml:space="preserve">Calculated value. The amount of nitrogen released to air is equal to the amount of nitrogen entering the activity. </t>
  </si>
  <si>
    <t>Calculated based on literature data published by the industry. This value is a 5-year average of data (2011 - 2015) published by the Gendorf factory (Gendorf, 2016, Umwelterklärung, www.gendorf.de),  (Gendorf, 2015, Umwelterklärung, www.gendorf.de),  (Gendorf, 2014, Umwelterklärung, www.gendorf.de). The amount of wastewater which is later on treated in the municipal WWTP per kg of chemical substance produced is calculated using literature data published by the Gendorf factory based in Germany, which is producing wide range of chemical substances. The factory produced 1657400 tonnes of chemical substances in the year 2015 (Gendorf, 2016, Umwelterklärung, www.gendorf.de) and 740000 tonnes of intermediate products. The amount of wastewater which is later on treated in the municipal WWTP in the year 2015 was 1200 tonnes (Gendorf, 2016, Umwelterklärung, www.gendorf.de). The resulting amount of wastewater is 2.7E-06 m3/kg of chemical product produced.</t>
  </si>
  <si>
    <t xml:space="preserve">synthetic graphite </t>
  </si>
  <si>
    <t>diesel, burned in building machine</t>
  </si>
  <si>
    <t>80% petroleum coke (assumed 90% carbon content); production process has an efficiency rate of 83% (Dunn et al. 2015) --&gt; 0.8*(1/0.83)=0.96</t>
  </si>
  <si>
    <t>coal tar</t>
  </si>
  <si>
    <t>20% coal tar pitch;  production process has an efficiency rate of 83% (Dunn et al. 2015) --&gt; 0.2*(1/0.83)=0.24
Coal-tar pitch is a thick black liquid that remains after the distillation of coal tar. We use coal tar as a proxy for coal tar pitch. (Possible lower impact due to not accounting for distillation process requirements, e.g. heat, emissions,.)</t>
  </si>
  <si>
    <t>Philippot et al. 2019b</t>
  </si>
  <si>
    <t>https://books.google.ch/books?hl=it&amp;lr=&amp;id=zMqFDwAAQBAJ&amp;oi=fnd&amp;pg=PA129&amp;dq=LIFE+CYCLE+ASSESSMENT+OF+SILICON+ALLOY-BASED+LITHIUM-ION+BATTERY+FOR+ELECTRIC+VEHICLES&amp;ots=ohjnwp9zHk&amp;sig=Nm4YKt0GGKukpXo0eF3rO990oGw#v=onepage&amp;q=LIFE%20CYCLE%20ASSESSMENT%20OF%20SILICON%20ALLOY-BASED%20LITHIUM-ION%20BATTERY%20FOR%20ELECTRIC%20VEHICLES&amp;f=false</t>
  </si>
  <si>
    <t>Sulfur dioxide</t>
  </si>
  <si>
    <t>Particulates, &gt; 2.5 um, and &lt; 10um</t>
  </si>
  <si>
    <t xml:space="preserve">conversion factor: 1 mmBTU = 293.07107 kWh. The graphitization furnace is electric.  </t>
  </si>
  <si>
    <t>https://www.mdpi.com/1996-1073/11/1/150</t>
  </si>
  <si>
    <t>kWh/ cell</t>
  </si>
  <si>
    <t>kWh/cell</t>
  </si>
  <si>
    <t>Steam used for alkali pretreatment, reactor heating, ammonia stripping, and evaporation. Dai et al. 2018 (BOM report)</t>
  </si>
  <si>
    <t>conversion factor: 1 MJ = 0.277778 kwh. 
"For batter pack assembly, Dai et al. found that it was done manually in the factory they visited in China and they also noted that any energy used in the assembly step would be trivial compared to the energy used for the cell manufacturing (Dai, et al., 2017). If the assembly is automated or semi-automated, then the electricity required will not be very high." (IVL 2019)</t>
  </si>
  <si>
    <t>Dai et al. 2017, 2019</t>
  </si>
  <si>
    <t>Wang  1999</t>
  </si>
  <si>
    <t>Dai et al., 2018b</t>
  </si>
  <si>
    <t>Cobalt sulfate</t>
  </si>
  <si>
    <t>Electricity</t>
  </si>
  <si>
    <t>Natural gas</t>
  </si>
  <si>
    <t>Fresh water</t>
  </si>
  <si>
    <t>Kerosene</t>
  </si>
  <si>
    <t>Limestone</t>
  </si>
  <si>
    <t>Cu-Co ores</t>
  </si>
  <si>
    <t>Sulfur</t>
  </si>
  <si>
    <t>Crude Co(OH)2</t>
  </si>
  <si>
    <t>FromEnvrionment</t>
  </si>
  <si>
    <t xml:space="preserve">Fresh water
</t>
  </si>
  <si>
    <t>Cobalt [Non renewable elements]</t>
  </si>
  <si>
    <t>Diesel fuel</t>
  </si>
  <si>
    <t>PM10</t>
  </si>
  <si>
    <t>PM2.5</t>
  </si>
  <si>
    <t>USEPA 2000</t>
  </si>
  <si>
    <t>Kinidi 2018</t>
  </si>
  <si>
    <t>NH4OH (100% efficiency)</t>
  </si>
  <si>
    <t>ammonia, liquid</t>
  </si>
  <si>
    <t>Ammonia, to air</t>
  </si>
  <si>
    <t>kerosene</t>
  </si>
  <si>
    <t>kg/kg</t>
  </si>
  <si>
    <t>Sodium hydroxide /NaOH</t>
  </si>
  <si>
    <t>Sulfuric acid / H2SO4</t>
  </si>
  <si>
    <t>Hydrochloric acid / HCl</t>
  </si>
  <si>
    <t>Sodium pyrosulphite /Na2S2O5</t>
  </si>
  <si>
    <t>Sulfur dioxide /SO2</t>
  </si>
  <si>
    <t>Calcium hydroxide / Lime</t>
  </si>
  <si>
    <t>Magnesium oxide /MgO</t>
  </si>
  <si>
    <t>Lewrén 2019</t>
  </si>
  <si>
    <t xml:space="preserve">conversion factor: 1 MJ = 0.277778 kwh. </t>
  </si>
  <si>
    <t>crude cobalt hydroxide</t>
  </si>
  <si>
    <t>hydrochloric acid, without water, in 30% solution state</t>
  </si>
  <si>
    <t>ammonium bicarbonate</t>
  </si>
  <si>
    <t>sodium bicarbonate</t>
  </si>
  <si>
    <t>copper-cobalt ores</t>
  </si>
  <si>
    <t>magnesium oxide</t>
  </si>
  <si>
    <t>sulfur dioxide</t>
  </si>
  <si>
    <t>copper-cobalt ores (only cobalt included herein; cobalt mining process)</t>
  </si>
  <si>
    <t>Crude cobalt hydroxide (process: cobalt processing)</t>
  </si>
  <si>
    <t>sodium pyrosulfite</t>
  </si>
  <si>
    <t>Barbera et al. 2012</t>
  </si>
  <si>
    <t>Sulfur, in ground</t>
  </si>
  <si>
    <t>FromEnvironment (resource)</t>
  </si>
  <si>
    <t>Sulfur dioxide, to air</t>
  </si>
  <si>
    <t>sulfur dioxide, liquid</t>
  </si>
  <si>
    <t>Habgood &amp; Painter, 1972</t>
  </si>
  <si>
    <t>Sodium, to water</t>
  </si>
  <si>
    <t>Calculated based on literature values and assumptions. It has been assumed, that 0.2% of the volume of sulfur dioxide (SO2) on the input evaporates as pollution into the air.</t>
  </si>
  <si>
    <t>Sulfate</t>
  </si>
  <si>
    <t>MJ/kWh cell</t>
  </si>
  <si>
    <t>Electricity for cell assembly (dry room: stacking, welding, electrode filling, cell closing)</t>
  </si>
  <si>
    <t>Heat/steam from natural gas for cell assembly (dry room: stacking, welding, electrode filling, cell closing)</t>
  </si>
  <si>
    <t>7-26</t>
  </si>
  <si>
    <t>comments/remarks/description for EI datasets</t>
  </si>
  <si>
    <t>electrolyte, for Li-ion battery</t>
  </si>
  <si>
    <t>PEFCR 2017 (excel)</t>
  </si>
  <si>
    <t>cell forming &amp; charging</t>
  </si>
  <si>
    <t>Dai et al. 2019 (SI + manuscript)</t>
  </si>
  <si>
    <t>conversion factor MJ = 0.27778 kWh</t>
  </si>
  <si>
    <t>conversion factor 1 gal = 3.785 kg</t>
  </si>
  <si>
    <t xml:space="preserve">conversion factor  1 mmBTU = 1,055.055853 MJ </t>
  </si>
  <si>
    <t>original amount</t>
  </si>
  <si>
    <t>Particulates, &lt; 2.5 um</t>
  </si>
  <si>
    <t>chlorine, liquid</t>
  </si>
  <si>
    <t>Hydrogen chloride inevitably evolving as a by-product favors the formation of unwanted chlorinated decomposition products of ethylene carbonate… (Lerm et al. 2011). HCl = 36.46 g/mol.</t>
  </si>
  <si>
    <t>Sulfite, to water</t>
  </si>
  <si>
    <t>Chloride, to water</t>
  </si>
  <si>
    <t>external case (prismatic cell, according to Dai et al. 2019)</t>
  </si>
  <si>
    <t>(process for tab, according to Notter et al. 2010)</t>
  </si>
  <si>
    <t xml:space="preserve">copper </t>
  </si>
  <si>
    <t>from copper production, primary. No distinction between primary and secondary copper here nor in EI</t>
  </si>
  <si>
    <t>polyethylene terephthalate, granulate, amorphous</t>
  </si>
  <si>
    <t>extrusion, plastic film</t>
  </si>
  <si>
    <t>polypropylene, granulate</t>
  </si>
  <si>
    <t>(process for envelope, according to Notter et al. 2010)</t>
  </si>
  <si>
    <t>Wikipedia 2019</t>
  </si>
  <si>
    <t>Zackrisson et al. 2017</t>
  </si>
  <si>
    <t>http://www.diva-portal.org/smash/get/diva2:1131667/FULLTEXT01.pdf</t>
  </si>
  <si>
    <t>https://worldwide.espacenet.com/patent/search/family/007929786/publication/US6395908B1?q=pn%3DUS6395908</t>
  </si>
  <si>
    <t>Schmuch et al. 2018</t>
  </si>
  <si>
    <t xml:space="preserve">mixing </t>
  </si>
  <si>
    <t>coating/drying (NMP)</t>
  </si>
  <si>
    <t>cutting</t>
  </si>
  <si>
    <t>calendering</t>
  </si>
  <si>
    <t>coating/drying (water)</t>
  </si>
  <si>
    <t>assembly in dry room</t>
  </si>
  <si>
    <t>forming</t>
  </si>
  <si>
    <t>Figure 4 interpretation</t>
  </si>
  <si>
    <t>Table I, Fig.2</t>
  </si>
  <si>
    <t>Table I, Fig.2 (composite)</t>
  </si>
  <si>
    <t>cell level</t>
  </si>
  <si>
    <t>Notes from Pettinger &amp; Dong, 2016:</t>
  </si>
  <si>
    <t>kWh energy density/cell</t>
  </si>
  <si>
    <t>kWh electricity /cell (40 Ah, 3.7 V)</t>
  </si>
  <si>
    <t>kWh/kg cathode</t>
  </si>
  <si>
    <t>electricity for mixing, cutting and calendaring</t>
  </si>
  <si>
    <t>electricity, low voltage</t>
  </si>
  <si>
    <t>Pettinger &amp; Dong 2016</t>
  </si>
  <si>
    <t xml:space="preserve">Scaling from Pettinger &amp; Dong, 2016. Summing slurry preparation, slitting and calendaring for cathode, in terms of kWh electricity per cell. Original value referred to a 40 Ah, 3.7 V generic Li-ion battery. See "info energy" sheet for data overview. The same approach and data are applied to anode. </t>
  </si>
  <si>
    <t>end suction</t>
  </si>
  <si>
    <t>kWh electricity/kWh cell</t>
  </si>
  <si>
    <t>energy for electrode drying, from steam, from natural gas</t>
  </si>
  <si>
    <t xml:space="preserve">MJ/kWh cell </t>
  </si>
  <si>
    <t>Susarla et al. 2018</t>
  </si>
  <si>
    <r>
      <t xml:space="preserve">Susarla, N., Ahmed, S., &amp; Dees, D. W. (2018). Modeling and analysis of solvent removal during Li-ion battery electrode drying. </t>
    </r>
    <r>
      <rPr>
        <i/>
        <sz val="11"/>
        <color theme="1"/>
        <rFont val="Calibri"/>
        <family val="2"/>
        <scheme val="minor"/>
      </rPr>
      <t>Journal of Power Sources</t>
    </r>
    <r>
      <rPr>
        <sz val="11"/>
        <color theme="1"/>
        <rFont val="Calibri"/>
        <family val="2"/>
        <scheme val="minor"/>
      </rPr>
      <t xml:space="preserve">, </t>
    </r>
    <r>
      <rPr>
        <i/>
        <sz val="11"/>
        <color theme="1"/>
        <rFont val="Calibri"/>
        <family val="2"/>
        <scheme val="minor"/>
      </rPr>
      <t>378</t>
    </r>
    <r>
      <rPr>
        <sz val="11"/>
        <color theme="1"/>
        <rFont val="Calibri"/>
        <family val="2"/>
        <scheme val="minor"/>
      </rPr>
      <t>, 660-670.</t>
    </r>
  </si>
  <si>
    <t>ByProduct/Waste</t>
  </si>
  <si>
    <t>sulfuric acid for pretreatment of copper foil (as in Notter et al. 2010)</t>
  </si>
  <si>
    <t>Default modelling procedure of chemicals in ecoinvent, based on Hischier et al. 2005</t>
  </si>
  <si>
    <t>Cobalt(II) sulfate hexahydrate, CoSO4 * 6 H2O (20.98% Co), is a brownish-red crystalline compound with a monoclinic unit cell. It is prepared by concentrating a sulfuric acid solution of cobalt oxide or carbonate. (Donaldson &amp; Beyersmann, 2000). [Cobalt sulfate] forms by the reaction of metallic cobalt, its oxide, hydroxide, or carbonate with aqueous sulfuric acid (wiki)
Reaction: Co (2+) + O (2-) + H2SO4 --&gt; CoSO4 + H2O. Source: Swensontechnology, 2020. Available at: http://www.swensontechnology.com/colbalt-sulfate/ (accessed 12.03.2020); Donaldson, J. D., &amp; Beyersmann, D. (2000). Cobalt and cobalt compounds. Ullmann's Encyclopedia of Industrial Chemistry. Available at: https://onlinelibrary.wiley.com/doi/pdf/10.1002/14356007.a07_281.pub2
According to the default modelling of chemicals in ecoinvent (mail Roland), the reaction efficiency is 95%. This means that the sum of input Co + SO4 is (1/0.95) = 1.0526 kg</t>
  </si>
  <si>
    <t>conventional cooling solution for batteries: ethylene glycol-water 50:50 (Ap, 1998)</t>
  </si>
  <si>
    <t>Ap, 1998</t>
  </si>
  <si>
    <r>
      <t xml:space="preserve">Dai, Q., Kelly, J. C., Gaines, L., &amp; Wang, M. (2019). Life cycle analysis of lithium-ion batteries for automotive applications. </t>
    </r>
    <r>
      <rPr>
        <i/>
        <sz val="11"/>
        <color theme="1"/>
        <rFont val="Calibri"/>
        <family val="2"/>
        <scheme val="minor"/>
      </rPr>
      <t>Batteries</t>
    </r>
    <r>
      <rPr>
        <sz val="11"/>
        <color theme="1"/>
        <rFont val="Calibri"/>
        <family val="2"/>
        <scheme val="minor"/>
      </rPr>
      <t xml:space="preserve">, </t>
    </r>
    <r>
      <rPr>
        <i/>
        <sz val="11"/>
        <color theme="1"/>
        <rFont val="Calibri"/>
        <family val="2"/>
        <scheme val="minor"/>
      </rPr>
      <t>5</t>
    </r>
    <r>
      <rPr>
        <sz val="11"/>
        <color theme="1"/>
        <rFont val="Calibri"/>
        <family val="2"/>
        <scheme val="minor"/>
      </rPr>
      <t>(2), 48.</t>
    </r>
  </si>
  <si>
    <t>Dai et al., 2018a</t>
  </si>
  <si>
    <t>NMC oxide (Li-NMC-O2) is produced through a multi-step calcination process, by using NMC hydroxide and lithium carbonate as reagents. 
NMC(OH)2 + Li2CO3 --&gt; Li-NMC-O2 + CO2 + H2O. The process described in Fig.1 in Dai et al. 2018a. Material efficiency assumed to be 100%.</t>
  </si>
  <si>
    <r>
      <t>NMC hydroxide (NMC(OH)2) is produced via coprecipitation of Ni, Mn and Co sulfates. 
0.3 NiSO4 + 0.3 MnSO4 + 0.3 CoSO4 + 2 NaOH --&gt; Ni</t>
    </r>
    <r>
      <rPr>
        <vertAlign val="subscript"/>
        <sz val="11"/>
        <color theme="1"/>
        <rFont val="Calibri"/>
        <family val="2"/>
        <scheme val="minor"/>
      </rPr>
      <t>0.3</t>
    </r>
    <r>
      <rPr>
        <sz val="11"/>
        <color theme="1"/>
        <rFont val="Calibri"/>
        <family val="2"/>
        <scheme val="minor"/>
      </rPr>
      <t>Mn</t>
    </r>
    <r>
      <rPr>
        <vertAlign val="subscript"/>
        <sz val="11"/>
        <color theme="1"/>
        <rFont val="Calibri"/>
        <family val="2"/>
        <scheme val="minor"/>
      </rPr>
      <t>0.3</t>
    </r>
    <r>
      <rPr>
        <sz val="11"/>
        <color theme="1"/>
        <rFont val="Calibri"/>
        <family val="2"/>
        <scheme val="minor"/>
      </rPr>
      <t>Co</t>
    </r>
    <r>
      <rPr>
        <vertAlign val="subscript"/>
        <sz val="11"/>
        <color theme="1"/>
        <rFont val="Calibri"/>
        <family val="2"/>
        <scheme val="minor"/>
      </rPr>
      <t>0.3</t>
    </r>
    <r>
      <rPr>
        <sz val="11"/>
        <color theme="1"/>
        <rFont val="Calibri"/>
        <family val="2"/>
        <scheme val="minor"/>
      </rPr>
      <t>(OH)</t>
    </r>
    <r>
      <rPr>
        <vertAlign val="subscript"/>
        <sz val="11"/>
        <color theme="1"/>
        <rFont val="Calibri"/>
        <family val="2"/>
        <scheme val="minor"/>
      </rPr>
      <t>2</t>
    </r>
    <r>
      <rPr>
        <sz val="11"/>
        <color theme="1"/>
        <rFont val="Calibri"/>
        <family val="2"/>
        <scheme val="minor"/>
      </rPr>
      <t xml:space="preserve"> + Na</t>
    </r>
    <r>
      <rPr>
        <vertAlign val="subscript"/>
        <sz val="11"/>
        <color theme="1"/>
        <rFont val="Calibri"/>
        <family val="2"/>
        <scheme val="minor"/>
      </rPr>
      <t>2</t>
    </r>
    <r>
      <rPr>
        <sz val="11"/>
        <color theme="1"/>
        <rFont val="Calibri"/>
        <family val="2"/>
        <scheme val="minor"/>
      </rPr>
      <t>SO</t>
    </r>
    <r>
      <rPr>
        <vertAlign val="subscript"/>
        <sz val="11"/>
        <color theme="1"/>
        <rFont val="Calibri"/>
        <family val="2"/>
        <scheme val="minor"/>
      </rPr>
      <t>4</t>
    </r>
    <r>
      <rPr>
        <sz val="11"/>
        <color theme="1"/>
        <rFont val="Calibri"/>
        <family val="2"/>
        <scheme val="minor"/>
      </rPr>
      <t xml:space="preserve">
Technology description: reaction efficiency 100% according to ANL publications (Dai et al. 2018a). All the inputs end up in the reference output product and byproduct.</t>
    </r>
  </si>
  <si>
    <t>Herrmann 2014</t>
  </si>
  <si>
    <t>external layer, as described Herrmann 2014</t>
  </si>
  <si>
    <t>internal layer, as described in Herrmann 2014</t>
  </si>
  <si>
    <t>Philippot et al., 2019a</t>
  </si>
  <si>
    <t xml:space="preserve">0.96 kg per kg of Si/graphite anode (Philippot et al. 2019a); 1 kg per kg graphite anode (Cerdas et al., 2019); </t>
  </si>
  <si>
    <t>Frischknecht et al. 2005</t>
  </si>
  <si>
    <t>https://www.researchgate.net/publication/330902286_LITHIUM-ION_BATTERY_CELL_PRODUCTION_PROCESS</t>
  </si>
  <si>
    <t xml:space="preserve">https://nepis.epa.gov/Exe/ZyNET.exe/P10099PH.txt?ZyActionD=ZyDocument&amp;Client=EPA&amp;Index=2000%20Thru%202005&amp;Docs=&amp;Query=&amp;Time=&amp;EndTime=&amp;SearchMethod=1&amp;TocRestrict=n&amp;Toc=&amp;TocEntry=&amp;QField=&amp;QFieldYear=&amp;QFieldMonth=&amp;QFieldDay=&amp;UseQField=&amp;IntQFieldOp=0&amp;ExtQFieldOp=0&amp;XmlQuery=&amp;File=D%3A%5CZYFILES%5CINDEX%20DATA%5C00THRU05%5CTXT%5C00000025%5CP10099PH.txt&amp;User=ANONYMOUS&amp;Password=anonymous&amp;SortMethod=h%7C-&amp;MaximumDocuments=1&amp;FuzzyDegree=0&amp;ImageQuality=r75g8/r75g8/x150y150g16/i425&amp;Display=hpfr&amp;DefSeekPage=x&amp;SearchBack=ZyActionL&amp;Back=ZyActionS&amp;BackDesc=Results%20page&amp;MaximumPages=1&amp;ZyEntry=1. </t>
  </si>
  <si>
    <t>https://ec.europa.eu/environment/eussd/smgp/pdf/PEFCR_Batteries.pdf
excel --&gt; https://webcache.googleusercontent.com/search?q=cache:OjJm0tLZK9oJ:https://ec.europa.eu/environment/eussd/smgp/pdf/Batteries%2520PEFCR%2520-%2520Life%2520Cycle%2520Inventory.xlsx+&amp;cd=2&amp;hl=it&amp;ct=clnk&amp;gl=ch&amp;client=firefox-b-e</t>
  </si>
  <si>
    <t>Ecoinvent Reference Product name (generally from Undefined System Model)</t>
  </si>
  <si>
    <t>ethylene glycol</t>
  </si>
  <si>
    <t xml:space="preserve">tap water </t>
  </si>
  <si>
    <t>injection moulding</t>
  </si>
  <si>
    <t>Lagadec et al. 2019</t>
  </si>
  <si>
    <t>Kwade et al. 2018</t>
  </si>
  <si>
    <t>Castejon et al. 2018</t>
  </si>
  <si>
    <t>Lee et al. 2014</t>
  </si>
  <si>
    <t>0.351 original amount of PE fleece in Notter et al. 2010/Ecoinvent.
PE = 20%, PP = 80% according to Dai et al. 2019</t>
  </si>
  <si>
    <t>https://www.epectec.com/batteries/battery-enclosure-design.html (Accessed 27.03.2020)</t>
  </si>
  <si>
    <t>polyethylene, high density, granulate</t>
  </si>
  <si>
    <t>electronic component, passive, unspecified</t>
  </si>
  <si>
    <t xml:space="preserve">Electronics part </t>
  </si>
  <si>
    <t>other unspecified electronic parts</t>
  </si>
  <si>
    <t>[…] battery heaters utilize a heated tray from the engine coolant, under the battery. […] The battery heaters consists of lightweight aluminium heating plate, durable stainless coolant tubes and an optimal thermostatic control (https://www.arctic-fox.eu/products/battery-heater. Accessed 27.03.2020)</t>
  </si>
  <si>
    <t>Battery pack terminals: plastic insulation (25%)</t>
  </si>
  <si>
    <t>not available</t>
  </si>
  <si>
    <t>material/shape not specified in the publication</t>
  </si>
  <si>
    <t>Ref.</t>
  </si>
  <si>
    <t>parameters</t>
  </si>
  <si>
    <t xml:space="preserve">Spreadsheet </t>
  </si>
  <si>
    <t>Content</t>
  </si>
  <si>
    <t>name of the material/process/component, as reported in the original literature source</t>
  </si>
  <si>
    <t>unit of measurement of the amount of the material/process/component, as reported in the original literature source</t>
  </si>
  <si>
    <t>calculated based on the original amount</t>
  </si>
  <si>
    <t>col.B</t>
  </si>
  <si>
    <t>col.C</t>
  </si>
  <si>
    <t>col.D</t>
  </si>
  <si>
    <t>col.E</t>
  </si>
  <si>
    <t>col.F</t>
  </si>
  <si>
    <t>col.G</t>
  </si>
  <si>
    <t>col.H</t>
  </si>
  <si>
    <t>col.I</t>
  </si>
  <si>
    <t>col.J</t>
  </si>
  <si>
    <t>col.K</t>
  </si>
  <si>
    <t>col.L</t>
  </si>
  <si>
    <t>origin of the input/output</t>
  </si>
  <si>
    <t>mapping of the material/process/component, according to the Ecoinvent Reference Product nomenclature</t>
  </si>
  <si>
    <t>unit of measurement according to Ecoinvent</t>
  </si>
  <si>
    <t>dataset</t>
  </si>
  <si>
    <t>name /indication of the activity name of reference</t>
  </si>
  <si>
    <t>quicklime, milled, packed</t>
  </si>
  <si>
    <t>mass balance between inputs and outputs. The final product is powder, no liquid solution as output. So water evaporates in the air together with CO2</t>
  </si>
  <si>
    <t>limestone, crushed, washed</t>
  </si>
  <si>
    <t>For extrusion, wrought alloy aluminium is used: https://matmatch.com/learn/material/cast-wrought-aluminium (accessed 30.03.2020)</t>
  </si>
  <si>
    <t xml:space="preserve">sheet rolling instead of extrusion, as this aluminium may include both heater plate and cooling tubes. </t>
  </si>
  <si>
    <t>As for battery pack. For extrusion, wrought alloy aluminium is used: https://matmatch.com/learn/material/cast-wrought-aluminium (accessed 30.03.2020)</t>
  </si>
  <si>
    <t>RWTH, 2019b: Plastic plates or foils are used for heat dissipation and electrical insulation, which prevent heat transfer and current flow between the cells</t>
  </si>
  <si>
    <t xml:space="preserve">Dai et al., 2019; RWTH 2019a (internal composition) </t>
  </si>
  <si>
    <t>RWTH 2019a</t>
  </si>
  <si>
    <t>Dai et al. 2019; in line with RWTH 2019a</t>
  </si>
  <si>
    <t>RWTH 2019b</t>
  </si>
  <si>
    <t>Water, unspecified natural origin</t>
  </si>
  <si>
    <t>PM2.5, mapping according to Frischknecht et al. 2005</t>
  </si>
  <si>
    <t>PM10, mapping according to Frischknecht et al. 2005</t>
  </si>
  <si>
    <t>metal working factory</t>
  </si>
  <si>
    <t>Metal factory, Ref. 21 in Notter et al. 2010</t>
  </si>
  <si>
    <t>Althaus H.-J., C. M., Hischier R., Jungbluth N., Osses M. and Primas A Life Cycle Inventories of Chemicals; Swiss Centre for Life Cycle Inventories: Dübendorf, 2007.</t>
  </si>
  <si>
    <t>Chemical factory, Ref. 20 in Notter et al. 2010</t>
  </si>
  <si>
    <t>separator, multi layer, coated</t>
  </si>
  <si>
    <t xml:space="preserve">Scaling from Pettinger &amp; Dong, 2016. Summing slurry preparation, slitting and calendaring for anode, in terms of kWh electricity per cell. Original value referred to a 40 Ah, 3.7 V generic Li-ion battery. See "info energy" sheet for data overview. The same approach and data are applied to anode. </t>
  </si>
  <si>
    <t xml:space="preserve">Results: </t>
  </si>
  <si>
    <t>Impact assessment</t>
  </si>
  <si>
    <t xml:space="preserve">Method: </t>
  </si>
  <si>
    <t>EF Method (adapted) V1.00 / Global (2010)/with tox categories</t>
  </si>
  <si>
    <t xml:space="preserve">Indicator: </t>
  </si>
  <si>
    <t>Characterization</t>
  </si>
  <si>
    <t xml:space="preserve">Exclude long-term emissions: </t>
  </si>
  <si>
    <t>Yes</t>
  </si>
  <si>
    <t>Impact category</t>
  </si>
  <si>
    <t>Unit</t>
  </si>
  <si>
    <t>Climate change</t>
  </si>
  <si>
    <t>kg CO2 eq</t>
  </si>
  <si>
    <t>Ozone depletion</t>
  </si>
  <si>
    <t>kg CFC11 eq</t>
  </si>
  <si>
    <t>kBq U-235 eq</t>
  </si>
  <si>
    <t>kg NMVOC eq</t>
  </si>
  <si>
    <t>disease inc.</t>
  </si>
  <si>
    <t>CTUh</t>
  </si>
  <si>
    <t>mol H+ eq</t>
  </si>
  <si>
    <t>kg P eq</t>
  </si>
  <si>
    <t>kg N eq</t>
  </si>
  <si>
    <t>mol N eq</t>
  </si>
  <si>
    <t>CTUe</t>
  </si>
  <si>
    <t>Land use</t>
  </si>
  <si>
    <t>Pt</t>
  </si>
  <si>
    <t>m3 depriv.</t>
  </si>
  <si>
    <t>kg Sb eq</t>
  </si>
  <si>
    <t>kWh/kg pack</t>
  </si>
  <si>
    <t>kg CO2 eq/kWh</t>
  </si>
  <si>
    <r>
      <t xml:space="preserve">Vinylene carbonate is an important intermediate for the synthesis of pharmaceuticals, plant protection agents, polymers, especially for lacquers, and various other chemicals. One important use of vinylene carbonate is as an additive to solutions for batteries, especially for lithium ion batteries. [...] Ethylene carbonate has been commonly used as starting material for vinylene carbonate, […] in reaction with chlorine. In the first stage, monochlorethylene carbonate is produced in a UV-initiated photochlorination reaction with chlorine or sulfuryl chloride at 60-70 °C in bulk. In the second stage, monochlorethylene is converted in a dehydrochlorination reaction (e.g. with triethylamine) at 40-60 °C into vinylene carbonate.  (Wikipedia 2019, based on Seifert et al. 2002). Production of VC is described also here: https://pubs.acs.org/doi/pdf/10.1021/ja01619a032
Typical yields of isolated vinylene carbonate are within the range of from 50 to 80%, specifically 60 to 70%, based on the amount of monochloroethylene carbonate employed in the elimination step (https://worldwide.espacenet.com/patent/search/family/040044117/publication/US2009082586A1?q=pn%3DUS8022231)
</t>
    </r>
    <r>
      <rPr>
        <b/>
        <sz val="11"/>
        <rFont val="Calibri"/>
        <family val="2"/>
        <scheme val="minor"/>
      </rPr>
      <t>Complete reaction (2 steps summarized in one): C3H4O3 + Cl2 + NC6H15 --&gt; C3H2O3 + HCl  + Cl (-) + NC6H16 (+)</t>
    </r>
  </si>
  <si>
    <t>To environment, to air</t>
  </si>
  <si>
    <t>not explicited in the original source Dai et al. 2019, shown as emission to air together with CO2 in Dai et al. 2918a Fig. 1</t>
  </si>
  <si>
    <t>Conversion factor: 1 gal = 3.785 kg. Conversion factor: 1 kg = 0.001 m3
Emission, mass balance with input</t>
  </si>
  <si>
    <t>Battery Management System (BMS)</t>
  </si>
  <si>
    <t>BMB</t>
  </si>
  <si>
    <t>IBIS</t>
  </si>
  <si>
    <t>IBIS fastening: steel</t>
  </si>
  <si>
    <t>High Voltage system</t>
  </si>
  <si>
    <t>Low Voltage System</t>
  </si>
  <si>
    <t>triethyl amine</t>
  </si>
  <si>
    <t>Stoichiometric calculation, based on molecular weight of triethyl amine (NC6H15) in final product vinylene carbonate (C3H2O3), and 95% reaction efficiency. NC6H15 = 101.19 g/mol; C3H2O3 =86.02 g/mol --&gt;  X= (101.19)*(1/process_efficiency)*1/86.02</t>
  </si>
  <si>
    <t>Stoichiometric calculation, based on molecular weight of ethylene carbonate (C3H4O3) in final product vinylene carbonate (C3H2O3), and 95% reaction efficiency. C3H4O3 =88.04 g/mol; C3H2O3 =86.02 g/mol --&gt; (88.04 : 86.02= X : 1 ) /0.95 . X= (88.04)*(1/process_efficiency)*1/86.02</t>
  </si>
  <si>
    <t>Stoichiometric calculation, based on molecular weight of 2NaOH in Na2S2O5 and 95% reaction efficiency. 2NaOH = 2*39.99 g/mol; Na2S2O5 = 190.05 g/mol --&gt; X= 2*39.99*(1/process_efficiency)*1/190.05. Result in line with Lewrén 2019 (0.42 kg SO2)</t>
  </si>
  <si>
    <t>Stoichiometric calculation, based on molecular weight of 2SO2 in Na2S2O5, and 95% reaction efficiency. 2SO2 = 2*64.04 g/mol; Na2S2O5 =190.05 g/mol --&gt; X= (2*64.04)*(1/process_efficiency)*1/190.05. Result in line with Lewrén 2019 (0.67 kg SO2)</t>
  </si>
  <si>
    <t>Stoichiometric calculation, based on molecular weight of Co in CoSO4, and 95% reaction efficiency. Co = 58.93 g/mol; CoSO4 = 154.95 g/mol --&gt;  X= 58.93*(1/process_efficiency)*1/154.95  where 1 is 1 kg of reference product</t>
  </si>
  <si>
    <t>Stoichiometric calculation, based on molecular weight of H2SO4 in CoSO4 and 95% reaction efficiency. H2SO4 = 98.036 g/mol; CoSO4 = 154.95 g/mol --&gt; 98.036 : 154.95 = X : 1/0.95 . X = 98.036*(1/process_efficiency)*1/154.95  where 1 is 1 kg of reference product</t>
  </si>
  <si>
    <t>Stoichiometric calculation, based on molecular weight of Cl2 in C3H2O3 and 95% reaction efficiency. Cl2= 70.9 g/mol; C3H2O3 =86.04 g/mol --&gt; (70.9 : 86.04= X : 1 ) /0.95 . X= 70.9*(1/process_efficiency)*1/86.04</t>
  </si>
  <si>
    <t>printed wiring board</t>
  </si>
  <si>
    <t>printed wiring board, surface mounted, unspecified, Pb free</t>
  </si>
  <si>
    <t>BMS</t>
  </si>
  <si>
    <t>mining occurring in Congo (DRC) according to Dai et al. 2018b</t>
  </si>
  <si>
    <t>Water, cooling, unspecified natural origin, CD</t>
  </si>
  <si>
    <t>assumed for cooling, due to the relatively high energy consumption. Origin from Congo, where the processing occurs.</t>
  </si>
  <si>
    <t>electricity, medium voltage (from Congo)</t>
  </si>
  <si>
    <t>modeled according to Lewrén 2019 Table C.38, based on/simplified from Ellingsen 2014</t>
  </si>
  <si>
    <t>HV system</t>
  </si>
  <si>
    <t>low voltage system</t>
  </si>
  <si>
    <t>high voltage system</t>
  </si>
  <si>
    <t>BMS_GLAND_O-RING (ABS)</t>
  </si>
  <si>
    <t>BMS printed circuit board</t>
  </si>
  <si>
    <t>BMS_FIRMWARE (Integrated circuit)</t>
  </si>
  <si>
    <t>Components, steel</t>
  </si>
  <si>
    <t>Production of nylon and plastics</t>
  </si>
  <si>
    <t>Production of bolt for micro stan</t>
  </si>
  <si>
    <t>Connectors (clamp connection)</t>
  </si>
  <si>
    <t>Crimp housing (PET)</t>
  </si>
  <si>
    <t>Standoffs, nylon part (nylon 6)</t>
  </si>
  <si>
    <t>Production of steel products</t>
  </si>
  <si>
    <t xml:space="preserve">modeled according to Lewrén 2019 Table C.38, based on Ellingsen 2014. Names below are as from Ellingsen 2014. </t>
  </si>
  <si>
    <t>Electronic parts: high voltage system</t>
  </si>
  <si>
    <t>From Ellingsen 2014: steel, low‐alloyed, at plant/ RER/ kg</t>
  </si>
  <si>
    <t>From Ellingsen 2014: steel product manufacturing, average metal working/ RER/ kg</t>
  </si>
  <si>
    <t>Steel products</t>
  </si>
  <si>
    <t>Cables</t>
  </si>
  <si>
    <t>Production of aluminum products</t>
  </si>
  <si>
    <t>Production of plastic products</t>
  </si>
  <si>
    <t>Production of copper for fuse</t>
  </si>
  <si>
    <t>Production of tin product</t>
  </si>
  <si>
    <t>Clips &amp; fasteners (nylon 66)</t>
  </si>
  <si>
    <t>Neoprene gasket (synthetic rubber)</t>
  </si>
  <si>
    <t>Plastic (PET)</t>
  </si>
  <si>
    <t>Intermodule Fuse (copper)</t>
  </si>
  <si>
    <t>Intermodule Fuse (polypropylene sulfide)</t>
  </si>
  <si>
    <t>Intermodule Fuse (tin)</t>
  </si>
  <si>
    <t>Electronic parts: low voltage system</t>
  </si>
  <si>
    <t>LV system</t>
  </si>
  <si>
    <t>Production of clips</t>
  </si>
  <si>
    <t>Clips (nylon 66)</t>
  </si>
  <si>
    <t>Harnesses (electronic components)</t>
  </si>
  <si>
    <t>acrylonitrile-butadiene-styrene copolymer</t>
  </si>
  <si>
    <t>"printed wiring board, surface mounted, unspecified, Pb free" from Notter et al. 2010, "printed wiring board, throughhole mounted, unspecified, Pb free" in Ellingsen et al. 2014 and Lewrén 2019 (this last ds has less impact than the one in Notter). PB free because of the Directive ROHS (Restriction of Hazardous Substances Directive).  
[...] Nowadays, virtually all electronic hardware is manufactured using surface mounted technology (http://www.jps-pcb.com/blog/through-hole-mounting-vs-surface-mount-technology.html. Accessed 02.04.2020)</t>
  </si>
  <si>
    <t>Lewrén 2019; Ellingsen 2014</t>
  </si>
  <si>
    <t>integrated circuit, logic type</t>
  </si>
  <si>
    <t>steel, low-alloyed</t>
  </si>
  <si>
    <t>injection moulding (GLO)</t>
  </si>
  <si>
    <t>metal working, average for steel product manufacturing</t>
  </si>
  <si>
    <t>electric connector, wire clamp</t>
  </si>
  <si>
    <t>nylon 6</t>
  </si>
  <si>
    <t>brass</t>
  </si>
  <si>
    <t>casting, brass</t>
  </si>
  <si>
    <t>metal working, average for aluminium product manufacturing</t>
  </si>
  <si>
    <t>HVC (i.e. High-Voltage Contactors) and lid (aluminium)</t>
  </si>
  <si>
    <t>nylon 6-6</t>
  </si>
  <si>
    <t>Lewrén 2019: Copper Wire Mix + metal working, average for copper product manufacturing</t>
  </si>
  <si>
    <t>polyphenylene sulfide</t>
  </si>
  <si>
    <t>tin</t>
  </si>
  <si>
    <t>metal working, average for metal product manufacturing</t>
  </si>
  <si>
    <t>cable, ribbon cable, 20-pin, with plugs</t>
  </si>
  <si>
    <t>glass fibre reinforced plastic, polyamide, injection moulded</t>
  </si>
  <si>
    <t>from Lewrén 2019</t>
  </si>
  <si>
    <t>tabs</t>
  </si>
  <si>
    <t>screws and plates</t>
  </si>
  <si>
    <t>ideally screws and plates</t>
  </si>
  <si>
    <t>Standoffs, brass part</t>
  </si>
  <si>
    <t>The steam use is converted into natural gas consumption (Dai et al. 2018a). According to GREET 2018 excel, an utility boiler is used. Definitions here: https://www.epa.gov/sites/production/files/2015-12/documents/iciboilers.pdf</t>
  </si>
  <si>
    <t>heat, natural gas, at industrial furnace &gt;100kW</t>
  </si>
  <si>
    <t>Date:</t>
  </si>
  <si>
    <t xml:space="preserve">synthetic rubber </t>
  </si>
  <si>
    <t>metal working, average for copper product manufacturing</t>
  </si>
  <si>
    <t>Battery module packaging</t>
  </si>
  <si>
    <t>Metal working factory {GLO}| market for | Cut-off, U</t>
  </si>
  <si>
    <t>BOD5, Biological Oxygen Demand</t>
  </si>
  <si>
    <t>COD, Chemical Oxygen Demand</t>
  </si>
  <si>
    <t>DOC, Dissolved Organic Carbon</t>
  </si>
  <si>
    <t>TOC, Total Organic Carbon</t>
  </si>
  <si>
    <t>Heat, district or industrial, natural gas {GLO}| market group for | Cut-off, U</t>
  </si>
  <si>
    <t>The steam use is converted into natural gas consumption (Dai et al. 2018a). According to GREET 2018 excel, an industrial boiler is used (380 kW). Industrial boiler systems are used for heating with hot water or steam in industrial process applications. (https://www.epa.gov/sites/production/files/2015-12/documents/iciboilers.pdf)</t>
  </si>
  <si>
    <t>Same as for pack enclosure. See above</t>
  </si>
  <si>
    <t>impact extrusion of aluminium, 1 stroke</t>
  </si>
  <si>
    <t xml:space="preserve">impact extrusion of aluminium, 1 stroke </t>
  </si>
  <si>
    <t>MINING</t>
  </si>
  <si>
    <t>PROCESSING</t>
  </si>
  <si>
    <t>m3/kg</t>
  </si>
  <si>
    <t>kg cobalt product</t>
  </si>
  <si>
    <t>PRODUCTION</t>
  </si>
  <si>
    <t xml:space="preserve">comparison of LCIA results of different ways of modeling cobalt sulfate. See details within the sheet. </t>
  </si>
  <si>
    <t xml:space="preserve">cobalt ore in ground </t>
  </si>
  <si>
    <t>Co MW</t>
  </si>
  <si>
    <t>CoSO4 MW</t>
  </si>
  <si>
    <t>g/mol</t>
  </si>
  <si>
    <t>Co(OH)2 MW</t>
  </si>
  <si>
    <t xml:space="preserve">kg </t>
  </si>
  <si>
    <t>3A/B adjusted</t>
  </si>
  <si>
    <t>Chemical factory, organics {GLO}| market for | Cut-off, U</t>
  </si>
  <si>
    <t xml:space="preserve">cobalt in ground </t>
  </si>
  <si>
    <t>From Congo, where mining occurs</t>
  </si>
  <si>
    <t>kWh storage capacity per cell (NMC111)</t>
  </si>
  <si>
    <t>kWh storage capacity per cell (NMC811)</t>
  </si>
  <si>
    <t>kWh storage capacity per cell (NCA)</t>
  </si>
  <si>
    <t>NMC811 battery cell</t>
  </si>
  <si>
    <t>Battery cell</t>
  </si>
  <si>
    <t>NMC811 battery pack</t>
  </si>
  <si>
    <t>NiSO4</t>
  </si>
  <si>
    <t>Dai et al. 2018a</t>
  </si>
  <si>
    <t xml:space="preserve">23.5 kWh pack / 165 kg pack = 0.143 kWh/kg pack </t>
  </si>
  <si>
    <t>0.197 Wh/kg cell * 119.79 kg cells = 23.599 kWh full pack</t>
  </si>
  <si>
    <t>23.59 kWh / 140 cells = 0.167 kWh/cell</t>
  </si>
  <si>
    <t>140 cells; 46-Ah prismatic cells</t>
  </si>
  <si>
    <t>specific energy capacity_NMC111_pack</t>
  </si>
  <si>
    <t>specific energy capacity_NMC111_cell</t>
  </si>
  <si>
    <t>specific energy capacity_NCA_cell</t>
  </si>
  <si>
    <t>specific energy capacity_NCA_pack</t>
  </si>
  <si>
    <t>specific energy capacity_NMC811_cell</t>
  </si>
  <si>
    <t>specific energy capacity_NMC811_pack</t>
  </si>
  <si>
    <t>Ah</t>
  </si>
  <si>
    <t>calculated</t>
  </si>
  <si>
    <t xml:space="preserve">Dai et al., 2018a; Dai et al., 2019 </t>
  </si>
  <si>
    <t xml:space="preserve">Dai et al. 2018a; Dai et al., 2019; RWTH 2019a (internal composition) </t>
  </si>
  <si>
    <t>lithium hydroxide</t>
  </si>
  <si>
    <t>nickel cobalt manganese 811 hydroxide, from sulfate precursors</t>
  </si>
  <si>
    <t xml:space="preserve">Since LiOH is used instead of Li2CO3, there are no CO2 emission accounted for. </t>
  </si>
  <si>
    <t>As for NMC111, natural gas used for alkali pretreatment, reactor heating, ammonia stripping, and evaporation. Dai et al. 2018a (BOM report)</t>
  </si>
  <si>
    <t>not explicited in the original source Dai et al. 2019, shown as emission to air together with CO2 in Dai et al. 2018a Fig. 1</t>
  </si>
  <si>
    <t>NMC oxide (Li-NMC-O2) is produced through a multi-step calcination process, by using NMC hydroxide and lithium hydroxide as reagents. 
NMC(OH)2 + 2LiOH --&gt; Li-NMC-O2 + 2H2O.</t>
  </si>
  <si>
    <t xml:space="preserve">56-71 </t>
  </si>
  <si>
    <t>Dai et al. 2018a; Dai et al. 2019</t>
  </si>
  <si>
    <t>% out of a pack</t>
  </si>
  <si>
    <t>NMC811</t>
  </si>
  <si>
    <t>NMC111</t>
  </si>
  <si>
    <t>NCA battery pack</t>
  </si>
  <si>
    <t>NCA battery cell</t>
  </si>
  <si>
    <t>Benavides et al. 2016</t>
  </si>
  <si>
    <t>Aluminium sulfate -  Al2(SO4)3</t>
  </si>
  <si>
    <t>Oxygen from air</t>
  </si>
  <si>
    <t>NCA(OH)2  (precursor)</t>
  </si>
  <si>
    <t>energy for co-precipitation from heat/natural gas</t>
  </si>
  <si>
    <t>Ammonia liquid (NH4OH or NH3*H2O)</t>
  </si>
  <si>
    <t>Benavides et al., 2016; GREET2 2018 excel model</t>
  </si>
  <si>
    <t>According to Benavides et al. 2016, the reaction to obtain NCA cathode material is the following, and "no significant materialloss was expected from this step": 
NCA(OH)2 + LiOH*H2O + 0.25 O2 --&gt; Li-NCA-O2 + 2.5 H20</t>
  </si>
  <si>
    <t>12% of electrolyte in one pack. The original % from Dai et al. 2018a/2019 has been adjusted to include VC in the solution.</t>
  </si>
  <si>
    <t>63.66% anode paste; 36.34% current collector</t>
  </si>
  <si>
    <t>NCA battery module (only packaging)</t>
  </si>
  <si>
    <t xml:space="preserve">NMC811 battery module (only packaging) </t>
  </si>
  <si>
    <r>
      <t xml:space="preserve">The steam use is converted into natural gas consumption (Dai et al. 2018a). According to GREET 2018 excel, an utility boiler is used. Definitions here: https://www.epa.gov/sites/production/files/2015-12/documents/iciboilers.pdf
</t>
    </r>
    <r>
      <rPr>
        <i/>
        <sz val="11"/>
        <rFont val="Calibri"/>
        <family val="2"/>
        <scheme val="minor"/>
      </rPr>
      <t>Note from Pettinger &amp; Dong 2016: The most energy intensive production step is the coating and drying process for both water and organic solvent based electrode production. This is related to the evaporation enthalpies of water and NMP (n.b. higher for water) and the necessary coating equipment (n.b. higher energy demand for NMP due to its flammability). The evaporation enthalpy for NMP with 533 kJ/kg is much lower than that for water with 2,543 kJ/kg. But the boiling point of NMP is 202°C, much higher than that of water with 100°C. The dryer in the NMP process has to be operated at much higher temperature, that creates bigger losses than with water as solvent. Both effects compensate and the primary energy demands for both techniques do not differ significantly, even if the boiling points of the solvents are quite different. Most of the primary energy is not used for the compensation of the evaporation enthalpy but for heating the large drying units and energy losses by ventilation.</t>
    </r>
  </si>
  <si>
    <t>112.37 kg cells + 9 kg module packaging + 36.32 pack packaging = 157.68 kg battery pack (Dai et al. 2018a, Table 8)</t>
  </si>
  <si>
    <t>23.53 kWh pack / 140 cells = 0.168 kWh/cell</t>
  </si>
  <si>
    <t>157.68  * 0.713 (% cells in a NMC811 pack) = 112.4 kg cells</t>
  </si>
  <si>
    <t>104.96 kg cells + 8.47 kg module packaging + 34.95 pack packaging =  143.38 kg battery pack (Dai et al. 2018a, Table 8)</t>
  </si>
  <si>
    <t>143.38 kg * 0.1586 kWh/kg (Dai et al. 2018a, Table 3) = 22.74 kWh pack</t>
  </si>
  <si>
    <t>157.68 kg * 0.1492 kWh/kg = 23.53 kWh pack</t>
  </si>
  <si>
    <t>NMC811 cell</t>
  </si>
  <si>
    <t>Li-NCA-O2 (active material)</t>
  </si>
  <si>
    <t>NCA cell</t>
  </si>
  <si>
    <t xml:space="preserve">cathode paste </t>
  </si>
  <si>
    <t xml:space="preserve">anode paste </t>
  </si>
  <si>
    <t xml:space="preserve">comparison of LCIA results of different separator options. See details within the sheet. </t>
  </si>
  <si>
    <t>Cu current collector</t>
  </si>
  <si>
    <t>Al current collector</t>
  </si>
  <si>
    <t>polyethylene granulate</t>
  </si>
  <si>
    <t>plastic processing factory</t>
  </si>
  <si>
    <t>copper current collector</t>
  </si>
  <si>
    <t>silicon</t>
  </si>
  <si>
    <t>cathode paste</t>
  </si>
  <si>
    <t>originally in Dai et al. 2019</t>
  </si>
  <si>
    <t>Lewrén 2019; based on Dai et al. 2018b (economic allocation)</t>
  </si>
  <si>
    <r>
      <t xml:space="preserve">electricity, medium voltage </t>
    </r>
    <r>
      <rPr>
        <b/>
        <sz val="11"/>
        <color theme="1"/>
        <rFont val="Calibri"/>
        <family val="2"/>
        <scheme val="minor"/>
      </rPr>
      <t>(from Congo)</t>
    </r>
  </si>
  <si>
    <t>anode paste</t>
  </si>
  <si>
    <t>Copper current collector</t>
  </si>
  <si>
    <t>Aluminium current collector</t>
  </si>
  <si>
    <t xml:space="preserve">copper-cobalt ores </t>
  </si>
  <si>
    <t>NMC811 (A)</t>
  </si>
  <si>
    <t>NMC811 (B)</t>
  </si>
  <si>
    <t>NMC811 (C)</t>
  </si>
  <si>
    <t>https://battprod.vdma.org/documents/7411591/15357859/VDMA+Battery+Production_Roadmap_2016_update_English.pdf/cb2fd37b-348f-467d-a39e-2a3180bb8b5e</t>
  </si>
  <si>
    <t>VDMA 2016</t>
  </si>
  <si>
    <t xml:space="preserve">According to Pettinger &amp; Dong 2016, the energy demand for anode drying (water) is 50% less than energy demand for cathode drying (NMP) (based on primary data for generic Li-ion battery in residential solar system); according to susarla et al. 2018, although the energy required for heating and evaporation will be higher for water, as it evaporates faster than NMP, the overall energy required for the drying will be lower for water - nearly 10 times less overall drying energy per kg of solvent (based on a model). ASSUMPTION: We consider on average 30% less energy demand...
</t>
  </si>
  <si>
    <t>143.38 kg * 0.708 (% cells in a NCA pack) =  101.513 kg cells</t>
  </si>
  <si>
    <t>kWh/kg cell</t>
  </si>
  <si>
    <t>GREET2019 model; Dunn et al. 2015</t>
  </si>
  <si>
    <t>Dai et al. 2018a; GREET2 2019 model (excel)</t>
  </si>
  <si>
    <t>GREET2_2019 model; Dai et al. 2019</t>
  </si>
  <si>
    <t>Benavides et al., 2016; GREET2 2019 excel model</t>
  </si>
  <si>
    <t>Dai et al. 2019; GREET2 2019 model (excel)</t>
  </si>
  <si>
    <t>Dai et al. 2018a; GREET 2019 model (excel)</t>
  </si>
  <si>
    <t>Dai et al. 2018a; GREET2_2019 model</t>
  </si>
  <si>
    <t>22.74 kWh pack / 140 cells = 0.162 kWh/cell</t>
  </si>
  <si>
    <t xml:space="preserve">Dai et al., 2018a/2019a; RWTH 2019a (internal composition) </t>
  </si>
  <si>
    <t>Dai et al., 2018a/2019a</t>
  </si>
  <si>
    <t>Check with EI exchange properties. Mass balance between inputs and outputs. The final product is powder, no liquid solution as output. So water evaporates in the air</t>
  </si>
  <si>
    <t xml:space="preserve">Oxygen </t>
  </si>
  <si>
    <t>(gas from air)</t>
  </si>
  <si>
    <t>Particulates, &gt; 2.5 um, and &lt; 10 um</t>
  </si>
  <si>
    <t>GREET2_2019 model (excel)</t>
  </si>
  <si>
    <r>
      <t>Other info: Dai et al. 2018a report that the production of 1kg NMC cathode powder -other stoichiome</t>
    </r>
    <r>
      <rPr>
        <sz val="11"/>
        <rFont val="Calibri"/>
        <family val="2"/>
        <scheme val="minor"/>
      </rPr>
      <t>tric ratios than NMC811- consumes 7 kWh of electricity. Lewren 2019 reports 23 MJ for both NMC111 and NMC622 (Table C.11)</t>
    </r>
  </si>
  <si>
    <t>mmBTU/ton NMC(OH)2</t>
  </si>
  <si>
    <t xml:space="preserve">Dai et al. 2018a report that electricity consumption for co-precipitation step is negligible, based on Xie et al. 2015. </t>
  </si>
  <si>
    <t>mmBTU/ton</t>
  </si>
  <si>
    <t>Conversion factors: 1 mmBTU = 1,055.055853 MJ ; 1 MJ = 0.02778 kWh</t>
  </si>
  <si>
    <t xml:space="preserve">Other info: Dai et al. 2018a report that the production of 1kg NMC811 and NCA cathode powder consumes 8 kWh of electricity. </t>
  </si>
  <si>
    <t>GREET2_2019 model</t>
  </si>
  <si>
    <t>mmBTU/ton li-NMCO2</t>
  </si>
  <si>
    <t>Dai et al. 2019 reports 42.554 MJ/kg NMC(OH)2; Lewren et al. 2019 reports 41 MJ for both NMC333 and NMC622 (Table C.12), which is in line with 38.618 mmBTU/ton (41.7 MJ/kg) given in Dai et al. 2018a &amp; the most updated version of GREET2 2019 excel model</t>
  </si>
  <si>
    <t>Dai et al. 2018a and the most updated version of the GREET2 2019 excel model report 38.618 mmBTU/ton (= 41.7 MJ/kg) for both NMC111, NMC811 and NCA. Dai et al. 2019 report 42.6 MJ/kg. We used the value from the GREET2_2019 model as considered the most up-to-date value</t>
  </si>
  <si>
    <t>Other info: Dai et al. 2018a report that the production of 1kg NMC811 and NCA cathode powder consumes 8 kWh of electricity. GREET2_2019 reports 24.765 mmBTU/ton of precursor --&gt; 7.257912 kWh/kg. We used the 2019 value as the most up-to-date</t>
  </si>
  <si>
    <t>We assume the same energy consumption (MJ/kWh cell) for NCA cathode production as for NMC 111.
Dai et al. 2017 analyse the energy consumption of the production of NMC cells, at factory level, with NMP used as solvent for cathode paste (NMP amount not specified). Authors report 56-71 MJ/kWh cell of heat consumed for electrode (i.e. cathode) drying &amp; NMP recovery, for 40,000 NMC cells produced over 300 working days. NMC cells are 43Ah, 3.7 V. The NMC battery in Dai 2019 is made of 140 cells, each of them 0.167 kWh, total weight 119.79 kg, 0.197 kWh/kg. Multiplying the average heat consumption (63.5 MJ/kWh cell) by 0.167 kWh, it is obtained 10.6045 MJ per cell, consumed to dry the amount of cathode paste without Al foil (0.3738) The following proportion is applied to get the energy demand for drying 1 kg of cathode --&gt; 10.6045 MJ : 0.3738 kg cathode = X : 1 kg cathode (ref. product herein)
IVL 2019: NMP is flammable and therefore its drying process requires a large amount of heated air-flow to evaporate the gas and simultaneously keep it from being an explosive hazard (Wood III, et al., 2014). This makes it a considerable contributor to the energy required in cell manufacturing.</t>
  </si>
  <si>
    <t>NCA</t>
  </si>
  <si>
    <t>polyethylene granulate, high density</t>
  </si>
  <si>
    <t>GREET2_2019 excel model</t>
  </si>
  <si>
    <t>Table 4, Dai et al. 2018b (not available in GREET2_2019 model)</t>
  </si>
  <si>
    <t>ton/ton Co eq.</t>
  </si>
  <si>
    <t>gal/ton Co eq.</t>
  </si>
  <si>
    <t>mmBTU/ton Co eq.</t>
  </si>
  <si>
    <t>Comparison:</t>
  </si>
  <si>
    <t>kg CO2 eq/kg</t>
  </si>
  <si>
    <t>aluminium sulfate, powder</t>
  </si>
  <si>
    <t>mmBTU/ton NCA oxyde</t>
  </si>
  <si>
    <t>mmBTU/ton precursor</t>
  </si>
  <si>
    <t>EC:DMC 1:1; 42.5% of electrolyte</t>
  </si>
  <si>
    <t>NCA (A)</t>
  </si>
  <si>
    <t>Philippot et al., 2019a; Schmuch et al. 2018 (SiO2 mentioned)</t>
  </si>
  <si>
    <t>aluminium casting facility</t>
  </si>
  <si>
    <t>electronic component factory</t>
  </si>
  <si>
    <t>Same assumption as for cathode oxide active material, although the production occurs in another factory. Annual production: 27000 metric ton cathode material (Dai et al., 2018a); assumption 50yr lifetime chemical factory</t>
  </si>
  <si>
    <t>Mapping as in Notter et al. 2010 for battery pack. Calculated based on: 40000 cells average annual production; 300 operationg days per year; 140 cells per pack; 165 kg pack (Table 1 in Dai et al. 2017); assumption of 50 years lifetime factory</t>
  </si>
  <si>
    <t>Standard average value in EI</t>
  </si>
  <si>
    <t>From Ellingsen 2014</t>
  </si>
  <si>
    <t>Calculated based on Annual production: 27000 metric ton cathode material (Dai et al., 2018a); assumption 50yr lifetime chemical factory</t>
  </si>
  <si>
    <t>Mapping as in Notter et al. 2010 for battery pack. Calculated based on: 40000 cells average annual production; 300 operationg days per year; 140 cells per pack; 157.68 kg pack (Table 1 in Dai et al. 2017); assumption of 50 years lifetime factory</t>
  </si>
  <si>
    <t>standard value in Ecoinvent</t>
  </si>
  <si>
    <t>Standard value EI, also as in Ellingsen 2014</t>
  </si>
  <si>
    <t>Mapping as in Notter et al. 2010 for battery pack. Calculated based on: 40000 cells average annual production; 300 operationg days per year; 140 cells per pack; 143.38 kg pack (Table 1 in Dai et al. 2017); assumption of 50 years lifetime factory</t>
  </si>
  <si>
    <t>Silicon, metallurgical grade</t>
  </si>
  <si>
    <t xml:space="preserve">Disodium disulphite (IUPAC; formula: Na2S2O5). Synonmys: Sodium pyrosulphite; Sodium metabisulfite; Sodium disulfite; </t>
  </si>
  <si>
    <t>Vinyl carbonate (formula: C3H2O3)</t>
  </si>
  <si>
    <t>Separator, single layer, coated, PE packaging film</t>
  </si>
  <si>
    <t>Separator, single layer, no coating, PE packaging film</t>
  </si>
  <si>
    <t xml:space="preserve">FINAL CHOICE </t>
  </si>
  <si>
    <t>NCA (B)</t>
  </si>
  <si>
    <t>NCA (C)</t>
  </si>
  <si>
    <t>The supply chain of the battery pack is assumed to be located in China, from chemical production to battery pack assembly. Therefore, the electricity mix from geography: 'CN' and heat from natural gas from geography: 'GLO' have been selected.</t>
  </si>
  <si>
    <t xml:space="preserve">Source: </t>
  </si>
  <si>
    <t>Last update:</t>
  </si>
  <si>
    <t>parameters used in the calculations within the NMC111, NMC811 and NCA inventories</t>
  </si>
  <si>
    <t>Life cycle inventory (LCI) of a battery pack with prismatic NMC811/Si-graphite cells</t>
  </si>
  <si>
    <t>Life cycle inventory (LCI) of a battery pack with prismatic NMC111/graphite cells</t>
  </si>
  <si>
    <t>Life cycle inventory (LCI) of a battery pack with prismatic NCA/Si-graphite cells</t>
  </si>
  <si>
    <t>List of references mentioned as data sources within the NMC111, NMC811 and NCA inventories</t>
  </si>
  <si>
    <t>Total</t>
  </si>
  <si>
    <t>Aluminium, wrought alloy {GLO}| market for | Cut-off, U</t>
  </si>
  <si>
    <t>Impact extrusion of aluminium, 1 stroke {GLO}| market for | Cut-off, U</t>
  </si>
  <si>
    <t>Polyethylene, high density, granulate {GLO}| market for | Cut-off, U</t>
  </si>
  <si>
    <t>Injection moulding {GLO}| market for | Cut-off, U</t>
  </si>
  <si>
    <t>Reinforcing steel {GLO}| market for | Cut-off, U</t>
  </si>
  <si>
    <t>Sheet rolling, steel {GLO}| market for | Cut-off, U</t>
  </si>
  <si>
    <t>Copper {GLO}| market for | Cut-off, U</t>
  </si>
  <si>
    <t>Sheet rolling, copper {GLO}| market for | Cut-off, U</t>
  </si>
  <si>
    <t>Glass fibre reinforced plastic, polyamide, injection moulded {GLO}| market for | Cut-off, U</t>
  </si>
  <si>
    <t>Ethylene glycol {GLO}| market for | Cut-off, U</t>
  </si>
  <si>
    <t>Tap water {RoW}| market for | Cut-off, U</t>
  </si>
  <si>
    <t>Sheet rolling, aluminium {GLO}| market for | Cut-off, U</t>
  </si>
  <si>
    <t>Electronic component, passive, unspecified {GLO}| market for | Cut-off, U</t>
  </si>
  <si>
    <t>Electricity, medium voltage {CN}| market group for | Cut-off, U</t>
  </si>
  <si>
    <t>Electrolyte</t>
  </si>
  <si>
    <t>Polyethylene terephthalate, granulate, amorphous {GLO}| market for | Cut-off, U</t>
  </si>
  <si>
    <t>Extrusion, plastic film {GLO}| market for | Cut-off, U</t>
  </si>
  <si>
    <t>Polypropylene, granulate {GLO}| market for | Cut-off, U</t>
  </si>
  <si>
    <t>Carbon black {GLO}| market for | Cut-off, U</t>
  </si>
  <si>
    <t>Polyvinylfluoride {GLO}| market for | Cut-off, U</t>
  </si>
  <si>
    <t>N-methyl-2-pyrrolidone {GLO}| market for | Cut-off, U</t>
  </si>
  <si>
    <t>vinyl carbonate</t>
  </si>
  <si>
    <t>vinyl carbonate (additive)</t>
  </si>
  <si>
    <t>Final choice, as in the manuscript</t>
  </si>
  <si>
    <t>LCIA results</t>
  </si>
  <si>
    <t>Left side (columns A-J):</t>
  </si>
  <si>
    <t>Right side (columns L-R):</t>
  </si>
  <si>
    <t xml:space="preserve">increase of impact, relative to the final modelling choice </t>
  </si>
  <si>
    <t>Acronyms explanation:</t>
  </si>
  <si>
    <t>PP = polypropylene; PE = polyethylene</t>
  </si>
  <si>
    <t>Separator, multi layer, coated, PE+PP granulate &amp; extrusion</t>
  </si>
  <si>
    <t>Separator, multi layer, coated, PE+PP granulate &amp; injection moulding</t>
  </si>
  <si>
    <t>Separator, single layer, coated, PE granulate &amp; extrusion</t>
  </si>
  <si>
    <t>Separator, single layer, coated, PE granulate &amp; injection moulding</t>
  </si>
  <si>
    <t>Separator, single layer, no coating, PE granulate &amp; injection moulding</t>
  </si>
  <si>
    <t>Separator, single layer, no coating, PE granulate &amp; extrusion</t>
  </si>
  <si>
    <t xml:space="preserve">LCIA results per 1 kg of reference product </t>
  </si>
  <si>
    <t>1. SEPARATORS LEVEL (LCIA results per 1 kg separator)</t>
  </si>
  <si>
    <t>2. CELL LEVEL (LCIA results per 1 kg NMC111/Graphite prismatic cell)</t>
  </si>
  <si>
    <t>3. BATTERY PACK LEVEL (LCIA results per 1 kg battery pack)</t>
  </si>
  <si>
    <t>2. CATHODE LEVEL (LCIA results per 1 kg of NMC111 cathode)</t>
  </si>
  <si>
    <t>1. COBALT SULFATE LEVEL (LCIA results per 1 kg CoSO4)</t>
  </si>
  <si>
    <t>3. CELL LEVEL (LCIA results per 1 kg NMC111/Graphite prismatic cell)</t>
  </si>
  <si>
    <t>4. BATTERY PACK LEVEL (LCIA results per 1kg battery pack)</t>
  </si>
  <si>
    <t>Cobalt sulfate, default chemical modelling</t>
  </si>
  <si>
    <t>Ecoinvent Reference Product name</t>
  </si>
  <si>
    <t>battery, Li-ion, NMC111, rechargeable, prismatic</t>
  </si>
  <si>
    <t>Battery component</t>
  </si>
  <si>
    <t>Type of Exchange</t>
  </si>
  <si>
    <t>battery module packaging, Li-ion</t>
  </si>
  <si>
    <t>battery cell, NMC811, Li-ion</t>
  </si>
  <si>
    <t>Electronic parts: Battery management system (BMS)</t>
  </si>
  <si>
    <t>high voltage system, Li-ion battery</t>
  </si>
  <si>
    <t>low voltage system, Li-ion battery</t>
  </si>
  <si>
    <t>Electronic parts: Integrated Battery Interface System (IBIS)</t>
  </si>
  <si>
    <t>Electronic parts: high voltage (HV) system</t>
  </si>
  <si>
    <t>battery management system</t>
  </si>
  <si>
    <t>integrated battery interface system</t>
  </si>
  <si>
    <t>Electronic parts: low voltage (LV) system</t>
  </si>
  <si>
    <t>battery module</t>
  </si>
  <si>
    <t>battery cell, NMC111, Li-ion</t>
  </si>
  <si>
    <t>electrolyte, for lithium ion battery</t>
  </si>
  <si>
    <t>anode, graphite, for lithium-ion battery</t>
  </si>
  <si>
    <t>copper collector foil, for Li-ion battery</t>
  </si>
  <si>
    <t>cathode, NMC111, for lithium-ion battery</t>
  </si>
  <si>
    <t>aluminium collector foil, for Li-ion battery</t>
  </si>
  <si>
    <t>vinylene carbonate</t>
  </si>
  <si>
    <t>municipal solid waste, sanitary landfill treatment</t>
  </si>
  <si>
    <t>synthetic graphite, battery grade</t>
  </si>
  <si>
    <t xml:space="preserve">Heat, district or industrial, natural gas </t>
  </si>
  <si>
    <t>Heat, district or industrial, natural gas</t>
  </si>
  <si>
    <t>NMC111 oxide</t>
  </si>
  <si>
    <t>aluminium foil</t>
  </si>
  <si>
    <t>NMC111 hydroxide</t>
  </si>
  <si>
    <t>Li-NMC111-O2 
(active material)</t>
  </si>
  <si>
    <t>Li-NMC111-O2 (active material)</t>
  </si>
  <si>
    <t>NMC111(OH)2 (precursor)</t>
  </si>
  <si>
    <t>battery separator</t>
  </si>
  <si>
    <t>cobalt hydroxide</t>
  </si>
  <si>
    <r>
      <t>Crude Co(OH)2</t>
    </r>
    <r>
      <rPr>
        <sz val="11"/>
        <color rgb="FF0070C0"/>
        <rFont val="Calibri"/>
        <family val="2"/>
        <scheme val="minor"/>
      </rPr>
      <t xml:space="preserve"> </t>
    </r>
  </si>
  <si>
    <t>disodium disulphite</t>
  </si>
  <si>
    <r>
      <t>Cu-Co ores</t>
    </r>
    <r>
      <rPr>
        <sz val="11"/>
        <color rgb="FF0070C0"/>
        <rFont val="Calibri"/>
        <family val="2"/>
        <scheme val="minor"/>
      </rPr>
      <t xml:space="preserve"> </t>
    </r>
  </si>
  <si>
    <t xml:space="preserve">Disodium disulphite (IUPAC; formula: Na2S2O5). Synonmys: Sodium pyrosulphite; Sodium metabisulfite; Sodium disulfite) </t>
  </si>
  <si>
    <t>It can be assumed that the energy consumption for pack assembly is negligible compared with that for cell production. (Dai et al. 2017)</t>
  </si>
  <si>
    <t xml:space="preserve">Be aware: some cells may contain formula. </t>
  </si>
  <si>
    <t>Plastic plates or foils are used for heat dissipation and electrical insulation, which prevent heat transfer and current flow between the cells (RWTH, 2019b)</t>
  </si>
  <si>
    <t>In line with 1-3% in IVL 2017 (pack level)</t>
  </si>
  <si>
    <t>comments to original inventory value/source</t>
  </si>
  <si>
    <t>Original in Dai et al. 2019a: 62% anode paste; 38% current collector. 
Ratio ca. cathode 2: anode 1 confirmed by EmpaDü battery epxerts.
Thickness according to ANL: 10 micron copper, 95 micron graphite</t>
  </si>
  <si>
    <t>Original in Dai et al. 2019a: 88% cathode paste (46.65 kg); 12% Al current collector (6.40 kg). Adjusted to 93% cathode paste (49.34 kg) and 7% Al foil(s) (3.71 kg) according to EmpaDü battery experts.  --&gt; see values in column J for EI.
Ratio ca. cathode 2: anode 1. Thickness: 12 micron aluminium, 79 micron NMC layer</t>
  </si>
  <si>
    <t>Composition of electrolyte confirmed by Solvionic products (2019); in line with IVL 2017, where electrolyte is 9-12% at pack level. IVL 2019 refer to Dai 2018/2019 and PEFCR 2018.</t>
  </si>
  <si>
    <t xml:space="preserve">Original internal composition in Dai et al. 2019a accounts for graphite and PVDF as binder. It has been adjusted based on knowledge from EmpaDü battery experts, to account for CB and different binders, i.e. CMC &amp; SBR: CB 1%, CMC 3%, SBR 2%, graphite 94%, No silicon coating. </t>
  </si>
  <si>
    <t>carboxymethyl cellulose  (CMC)</t>
  </si>
  <si>
    <t>styrene butadiene (SBR)</t>
  </si>
  <si>
    <t>Dai et al., 2019 (orginally PVDF)</t>
  </si>
  <si>
    <t>The steam use is converted into natural gas consumption (Dai et al. 2018a). According to GREET 2018 excel, a small industrial boiler is used. Industrial boiler systems are used for heating with hot water or steam in industrial process applications. (https://www.epa.gov/sites/production/files/2015-12/documents/iciboilers.pdf)</t>
  </si>
  <si>
    <t>Original value referred to a 40 Ah, 3.7 V Li-ion cell in residential photovoltaic systems</t>
  </si>
  <si>
    <t>Original internal composition from Dai et al. 2019a is reported in column C. We adjusted it based on knowledge from EmpaDü battery experts as the original amount of active material is very low and the CB mass is very high. The new composition is the following: CB 2.5%, PVDF 2.5%, NMC active material 95% (see values in column J)</t>
  </si>
  <si>
    <t>The original value is referred to a 40 Ah, 3.7 V Li-ion cell in residential photovoltaic systems.</t>
  </si>
  <si>
    <t>not explicited in the original source (Dai et al. 2019), however it is shown as emission to air together with CO2 in Dai et al. 2018a Fig. 1</t>
  </si>
  <si>
    <t>According to Dai et al. 2018a  and Dai et al. 2017, NH4OH is used as an input in the system (likely to enhance the co-precipitation phase), then it is recovered after stripping process and reused in the precursor production process (closed loop). According to USEPA (2000) and Kinidi et al. (2018) the efficiency of the ammonia stripping process is relatively high, on average 90, meaning that 10% input ammonia is lost (via evaporation) and the same % needs to be reintegrated in the initial system to "feed" the co-precipitation process.</t>
  </si>
  <si>
    <t>Dai et al. 2018a state: "the water balance of the plant shows that the production process only consumes water via evaporative loss, which is estimated to be 0.7t/t precursor produced", and this amount is included in the inputs in Table 6.</t>
  </si>
  <si>
    <t xml:space="preserve">not available in Ecoinvent database; modelled following the modelling default rule for chemicals in ecoinvent (Hischer et al. 2005). See below. </t>
  </si>
  <si>
    <t>NMC111, Dai et al. 2019</t>
  </si>
  <si>
    <t xml:space="preserve">Unit </t>
  </si>
  <si>
    <t>NMC111, Cox et al. 2020 *</t>
  </si>
  <si>
    <t>* SI graph interpretation</t>
  </si>
  <si>
    <t>NMC111 cathode</t>
  </si>
  <si>
    <t>NMC811 cathode</t>
  </si>
  <si>
    <t xml:space="preserve">NMC811 battery pack </t>
  </si>
  <si>
    <t>Increase of NMC811 relative to NMC111</t>
  </si>
  <si>
    <t>Increase of NCA relative to NMC111</t>
  </si>
  <si>
    <t>Lithium carbonate {GLO}| market for | Cut-off, U</t>
  </si>
  <si>
    <t>Lithium hydroxide {GLO}| market for | Cut-off, U</t>
  </si>
  <si>
    <t>LMO, Notter et al. 2010</t>
  </si>
  <si>
    <t xml:space="preserve">Calculations: </t>
  </si>
  <si>
    <t>ParameterName</t>
  </si>
  <si>
    <t xml:space="preserve">calculated </t>
  </si>
  <si>
    <t xml:space="preserve">Dai et al. 2019; in line with average NMC cell energy density reported in Schmuch et al. 2018 </t>
  </si>
  <si>
    <t>Dai et al. 2019; GREET2_2019 model</t>
  </si>
  <si>
    <t>according to Hischier et al. (2005)</t>
  </si>
  <si>
    <t>Pettinger, K. H., &amp; Dong, W. (2016). When does the operation of a battery become environmentally positive?. Journal of The Electrochemical Society, 164(1), A6274.</t>
  </si>
  <si>
    <r>
      <t>Impact per system mass [kg</t>
    </r>
    <r>
      <rPr>
        <b/>
        <vertAlign val="superscript"/>
        <sz val="11"/>
        <color theme="1"/>
        <rFont val="Calibri"/>
        <family val="2"/>
        <scheme val="minor"/>
      </rPr>
      <t>-1</t>
    </r>
    <r>
      <rPr>
        <b/>
        <sz val="11"/>
        <color theme="1"/>
        <rFont val="Calibri"/>
        <family val="2"/>
        <scheme val="minor"/>
      </rPr>
      <t>]</t>
    </r>
  </si>
  <si>
    <r>
      <t>Impact per system energy stored [kWh</t>
    </r>
    <r>
      <rPr>
        <b/>
        <vertAlign val="superscript"/>
        <sz val="11"/>
        <color theme="1"/>
        <rFont val="Calibri"/>
        <family val="2"/>
        <scheme val="minor"/>
      </rPr>
      <t>-1</t>
    </r>
    <r>
      <rPr>
        <b/>
        <sz val="11"/>
        <color theme="1"/>
        <rFont val="Calibri"/>
        <family val="2"/>
        <scheme val="minor"/>
      </rPr>
      <t>]</t>
    </r>
  </si>
  <si>
    <t>Results LCIA_EF</t>
  </si>
  <si>
    <t xml:space="preserve">LCIA results from the application of the EF method. Comparison of three LIB technologies, per 3 system units. </t>
  </si>
  <si>
    <t>Comparison of climate change (CC) impacts with values from current LCA literature</t>
  </si>
  <si>
    <t>Cobalt sulfate, as from Dai et al. 2018 (mass allocation, aggregated)</t>
  </si>
  <si>
    <t>Cobalt sulfate, as from Dai et al. 2018 (economic allocation, aggregated)</t>
  </si>
  <si>
    <t>Cobalt sulfate_from Dai 2018 (mass allocation, 3 sub-datasets)</t>
  </si>
  <si>
    <t>Cobalt sulfate, as from Lewrén 2019 (economic allocation, 3 sub-datasets)</t>
  </si>
  <si>
    <t>Cobalt sulfate_from Lewrén 2019 based on Dai et al., 2018 (economic allocation, 3 sub-datasets)</t>
  </si>
  <si>
    <t xml:space="preserve">cobalt, in ground </t>
  </si>
  <si>
    <t>Water, unspecified natural origin (RDC-Africa)</t>
  </si>
  <si>
    <t>electricity, medium voltage (RDC-Africa)</t>
  </si>
  <si>
    <t>electricity, medium voltage (China-Asia)</t>
  </si>
  <si>
    <t>chemical factory</t>
  </si>
  <si>
    <t>Exchange type</t>
  </si>
  <si>
    <t>ActivityName</t>
  </si>
  <si>
    <t xml:space="preserve">kg/kg </t>
  </si>
  <si>
    <t>(from Lewrén 2019)</t>
  </si>
  <si>
    <t>Increase of Si10% relative to Si2%</t>
  </si>
  <si>
    <t>Increase of Si5% relative to Si2%</t>
  </si>
  <si>
    <t>Anode, synthetic graphite with Si 10% (NMC8111)</t>
  </si>
  <si>
    <t>Anode, synthetic graphite with Si 5% (NMC8111)</t>
  </si>
  <si>
    <t>Anode, synthetic graphite with Si 2% (NMC8111)</t>
  </si>
  <si>
    <t>Anode, synthetic graphite with Si 10% (NCA)</t>
  </si>
  <si>
    <t>Anode, synthetic graphite with Si 5% (NCA)</t>
  </si>
  <si>
    <t>Anode, synthetic graphite with Si 2% (NCA)</t>
  </si>
  <si>
    <t>Left side (columns C-G):</t>
  </si>
  <si>
    <t>LCIA results per 1 kg of reference product for NMC811 technology, and increase of impact relative to the final modelling choice</t>
  </si>
  <si>
    <t>Right side (columns L-P):</t>
  </si>
  <si>
    <t>LCIA results per 1 kg of reference product for NCA technology, and increase of impact relative to the final modelling choice</t>
  </si>
  <si>
    <t>1. ANODE LEVEL (LCIA results per 1 kg anode)</t>
  </si>
  <si>
    <t>2. CELL LEVEL (LCIA results per 1 kg battery cell)</t>
  </si>
  <si>
    <t>comparison of LCIA results of different % of Si coating in anode (2, 5, 10), for NMC811 and NCA technologies. See details within the sheet.</t>
  </si>
  <si>
    <t>electricity and heat from Europe (average, 'RER') only for final cell manufacture and pack assembly</t>
  </si>
  <si>
    <t>electricity and heat from Europe (average, 'RER') for cathode, NMC/NCA-oxide and NMC/NCA-hydroxide precursors production (N.B. sulfates are assumed to be produced in China and shipped to Europe), for anode paste production (N.B. graphite is assumed to be produced in China and shipped to Europe), and for cell manufacture and pack assembly.</t>
  </si>
  <si>
    <t>Impact assessment, per kg battery pack</t>
  </si>
  <si>
    <t>Impact assessment, per kWh battery pack</t>
  </si>
  <si>
    <t>info solvents</t>
  </si>
  <si>
    <t xml:space="preserve">comparison of LCIA results of different energy mix options along the value chain of NMC811 and NCA technologies. See details within the sheet. </t>
  </si>
  <si>
    <t>contribution active material</t>
  </si>
  <si>
    <t>contribution cathode</t>
  </si>
  <si>
    <t>contribution pack</t>
  </si>
  <si>
    <t>contribution cells</t>
  </si>
  <si>
    <t>Type of exchange</t>
  </si>
  <si>
    <t>LCIA result from SimaPro for the three LIB technologies under study - contribution of processes/components to the impacts of 1 kg battery pack for the different impact categories</t>
  </si>
  <si>
    <t>LCIA result from Simapro for the three LIB technologies under study - contribution of processes/components to the impacts of 1 kg battery cell for the different impact categories</t>
  </si>
  <si>
    <t xml:space="preserve">LCIA result from Simapro for the three LIB technologies under study - contribution of processes/components to the impacts of 1 kg cathode for the different impact categories </t>
  </si>
  <si>
    <t xml:space="preserve">LCIA result from Simapro for the three LIB technologies under study - contribution of processes/components to the impacts of 1 kg cathode active material for the different impact categories </t>
  </si>
  <si>
    <t>Acronyms:</t>
  </si>
  <si>
    <t>LIB = Lithium-ion battery</t>
  </si>
  <si>
    <t>EI = Ecoinvent (v.3.6)</t>
  </si>
  <si>
    <t>LCI = Life cycle inventory</t>
  </si>
  <si>
    <t>LCIA = Life cycle impact assessment</t>
  </si>
  <si>
    <t>EF = Environmental Footprint (LCIA method)</t>
  </si>
  <si>
    <t xml:space="preserve">cf. cobalt sulfate </t>
  </si>
  <si>
    <t xml:space="preserve">cf. separators </t>
  </si>
  <si>
    <t>cf. Si coating</t>
  </si>
  <si>
    <t xml:space="preserve">cf. energy </t>
  </si>
  <si>
    <t>cf. = comparison</t>
  </si>
  <si>
    <t>Total impact 1 kg battery pack</t>
  </si>
  <si>
    <t xml:space="preserve">Battery cell </t>
  </si>
  <si>
    <t>1 kg NMC111 battery cell</t>
  </si>
  <si>
    <t>1 kg NMC811 battery cell</t>
  </si>
  <si>
    <t>1 kg NMC111 battery pack</t>
  </si>
  <si>
    <t>1 kg NMC811 battery pack</t>
  </si>
  <si>
    <t>1 kg NCA battery pack</t>
  </si>
  <si>
    <t>1 kg NCA battery cell</t>
  </si>
  <si>
    <t>Anode, synthetic graphite</t>
  </si>
  <si>
    <t>NCA cathode</t>
  </si>
  <si>
    <t>1 kg NMC111 cathode</t>
  </si>
  <si>
    <t>1 kg NMC811 cathode</t>
  </si>
  <si>
    <t>1 kg NCA cathode</t>
  </si>
  <si>
    <t>NMC811 oxide</t>
  </si>
  <si>
    <t>NCA oxide</t>
  </si>
  <si>
    <t xml:space="preserve">1 kg NMC111 oxide </t>
  </si>
  <si>
    <t>1 kg NMC811 oxide</t>
  </si>
  <si>
    <t xml:space="preserve">1 kg NCA oxide </t>
  </si>
  <si>
    <t>NMC111 hydroxide, from sulfate precursors</t>
  </si>
  <si>
    <t>NMC811 hydroxide, from sulfate precursors</t>
  </si>
  <si>
    <t>NCA hydroxide, from sulfate precursors</t>
  </si>
  <si>
    <t xml:space="preserve">injection moulding </t>
  </si>
  <si>
    <t>type of exchange</t>
  </si>
  <si>
    <t xml:space="preserve">packaging film, low density polyethylene </t>
  </si>
  <si>
    <t>7. Separator, single layer, no coating, PE packaging film</t>
  </si>
  <si>
    <t>6. Separator, single layer, no coating, PE granulate &amp; injection moulding</t>
  </si>
  <si>
    <t>1. Separator, multi layer, coated, PE+PP granulate &amp; extrusion</t>
  </si>
  <si>
    <t>Cobalt sulfate  (default chemical modelling based on Cobalt Ecoinvent v.3.6)</t>
  </si>
  <si>
    <t xml:space="preserve">polypropylene, granulate </t>
  </si>
  <si>
    <t>2. Separator, multi layer, coated, PE+PP granulate &amp; injection moulding</t>
  </si>
  <si>
    <t>Calculated value based on literature and estimates. Part of the unreacted volume of Cobalt (Co) evaporates, and is released as a part of wastewater. The efficiency of the waste water treatment plant (WWTP) is assumed to be 90%  (according to EI as for nickel sulfate and manganese sulfate), i.e. 10% of the volume of Cobalt on the inflow to the WWTP is released to the environment.</t>
  </si>
  <si>
    <t>Calculated value based on literature and estimates. In case of sulfuric acid (H2SO4), part of the unreacted volume is released as sulfate (SO4) as a part of wastewater. The efficiency of the waste water treatment plant (WWTP) is assumed to be 90% (according to EI as for nickel sulfate and manganese sulfate), i.e. 10% of the volume of sulfate on the inflow to the WWTP is released to the environment.  96.056 g/mol is the molar mass of sulfate (SO4); 98.072 g/mol is the molar mass of sulfuric acid (H2SO4).</t>
  </si>
  <si>
    <t>Calculated value based on literature and estimates. In case of sulfur dioxide (SO2), part of the unreacted volume is released as sulfur dioxide into air and part is released as sulfite into wastewater. The efficiency of the waste water treatment plant (WWTP) is assumed to be 90%  (according to EI as for nickel sulfate and manganese sulfate), i.e. 10% of the volume of sulfur on the inflow to the WWTP is released to the environment.  80.03  g/mol is the molar mass of sulfite (SO3); 64.04 g/mol is the molar mass of sulfur dioxide (SO2).</t>
  </si>
  <si>
    <t>Calculated value based on literature and estimates. In case of sodium hydroxide (NaOH), part of the unreacted volume is released as sodium ions as a part of wastewater. The efficiency of the waste water treatment plant (WWTP) is assumed to be 90%  (according to EI as for nickel sulfate and manganese sulfate), i.e. 10% of the volume of sodium ions on the inflow to the WWTP is released to the environment.  22.99 g/mol is the molar mass of sodium (Na); 39.99 g/mol is the molar mass of sodium hydroxide (NaOH).</t>
  </si>
  <si>
    <t xml:space="preserve">conversion factor: 1 MJ = 0.277778 kwh. 
</t>
  </si>
  <si>
    <t xml:space="preserve">The inventory based on the procedure described in Hischier et al. (2005) is reported below. </t>
  </si>
  <si>
    <t>Calculated according to Frischknecht et al. 2005</t>
  </si>
  <si>
    <t xml:space="preserve">According to Pettinger &amp; Dong 2016, the energy demand for anode drying (water) is 50% less than energy demand for cathode drying (NMP) (based on primary data for generic Li-ion battery in residential solar system); according to Susarla et al. 2018, although the energy required for heating and evaporation will be higher for water, as it evaporates faster than NMP, the overall energy required for the drying will be lower for water - nearly 10 times less overall drying energy per kg of solvent (based on a model). ASSUMPTION: We consider on average 30% less energy demand... (average between 10% and 50%)
</t>
  </si>
  <si>
    <t xml:space="preserve">Dunn et al. 2015: The production is assumed to be based in China. Indeed, In 2016, the global Synthetic Graphite market is led by China, capturing about 31% of global Synthetic Graphite production. USA is the second largest country market with about 16% global Share. Japan is followed by 15% while Europe and India take about 12% respectively in 2016. (Accessed 10.06.2020, https://www.wrcbtv.com/story/41576458/synthetic-graphite-market-development-status-2020-global-industry-demand-industry-news-business-updates-by-size-share-sales-revenue-forecast-by-2026). Starting material information are 80% petroleum coke, and 20% coal tar pitch, as reported by a synthetic graphite manufacturer. </t>
  </si>
  <si>
    <t>conversion factor: 1 mmBTU = 1,055.055853 MJ. 
Notes from Dunn et al. 2015: The baking furnace is fueled by natural gas. Efficiency is assumed to be 25%. Based on thermodynamic calculation, considering the specific heat of graphite at different temperatures: 0.69 kJ/(kg.K) at 20°C, and 2.23 kJ/(kg.K) at 2800°C. Heat consumption value in line with Majeau Bettez et al. 2011 (carbon anode baking: 4.85 MJ/kg). To be noted that the energy consumption estimated for the baking process could be on the higher end, due to the use of the specific heat of graphite as a substitute for that of coke and pitch, which is reported lower. No reliable variable specific heat data was available for coke and pitch.</t>
  </si>
  <si>
    <t xml:space="preserve">Emissions to air, unspecified.
</t>
  </si>
  <si>
    <t>PVF as proxy for PVDF (as already used in Notter et al. 2010)</t>
  </si>
  <si>
    <t>Steam used for alkali pretreatment, reactor heating, ammonia stripping, and evaporation. Dai et al. 2018a</t>
  </si>
  <si>
    <t>Conversion factor: 1 gal = 3.785 kg. Then conversion into m3: 1 kg = 0.001 m3
Result in line with same author, different report: Dai et al. 2018a 0.7 ton/ton</t>
  </si>
  <si>
    <t xml:space="preserve">Sodium pyrosulphite can be produced by treating any basic sodium compound with sulphur dioxide (Habgood &amp; Painter, 1972). 
Sodium disulfite is produced by treating 50 –70 % sodium hydroxide (or a suspension of sodium carbonate) with sulfur-dioxide containing gases in saturated sodium hydrogensulfite solution (Barbera et al., 2012; also reported in Lewrén 2019, Table C26)
2SO2 + 2NaOH --&gt; Na2S2O5 + H2O
According to the default modelling of chemicals in ecoinvent, the reaction efficiency is 95%. </t>
  </si>
  <si>
    <t>Additional comment/remarks to final values</t>
  </si>
  <si>
    <t>amount of the material/process/component, as reported in the original literature source (if any)</t>
  </si>
  <si>
    <t>original literature source. The full references are reported in the "Ref." sheet.</t>
  </si>
  <si>
    <t>amount referred to the Reference Product of each dataset (1 kg). Calculation based on the original amount (col. C, or D if only % is available originally)</t>
  </si>
  <si>
    <t>mainly explanation of the calculations made to get the final amount for the datasets in col. J</t>
  </si>
  <si>
    <t>Production of steel products+B37:B47</t>
  </si>
  <si>
    <t>Electronic parts: battery management system (BMS)</t>
  </si>
  <si>
    <t>Original in Dai et al. 2019a: 63.7 % anode paste; 36.3% current collector.</t>
  </si>
  <si>
    <t>Original in Dai et al. 2019a: 86.7% cathode paste; 13.3% Al current collector (6.40 kg). Adjusted to 93% cathode paste and 7% Al foil(s) according to EmpaDü battery experts.  --&gt; same share as for NMC111; see values in column J for final values.</t>
  </si>
  <si>
    <t>12% refers to the amount in 1 battery pack. Composition of electrolyte confirmed by Solvionic products (2019); in line with IVL 2017, where electrolyte is 9-12% at pack level. IVL 2019 refer to Dai 2018/2019 and PEFCR</t>
  </si>
  <si>
    <t xml:space="preserve">Original internal composition in Dai et al. 2019a accounts for graphite and PVDF as binder. It has been adjusted based on knowledge from EmpaDü battery experts, to account for CB and different binders, i.e. CMC &amp; SBR: CB 1%, CMC 3%, SBR 2%, graphite 92%, silicon coating 2%  </t>
  </si>
  <si>
    <t>Dai et al., 2019 (originally PVDF only)</t>
  </si>
  <si>
    <t>Li-NMC811-O2 
(active material)</t>
  </si>
  <si>
    <t>Li-NMC811-O2 (active material)</t>
  </si>
  <si>
    <t>NMC811 hydroxide</t>
  </si>
  <si>
    <t>Dai et al. 2018a; GREET2 2019 model</t>
  </si>
  <si>
    <t>NMC811(OH)2 (precursor)</t>
  </si>
  <si>
    <t xml:space="preserve">Dai et al. 2018a; GREET2 2019 model </t>
  </si>
  <si>
    <t>energy for co-precipitation process (reactor heating, ammonia stripping and evaporation), from heat/natural gas</t>
  </si>
  <si>
    <t>Sulfite</t>
  </si>
  <si>
    <t>Sodium</t>
  </si>
  <si>
    <t>battery, Li-ion, NMC811, rechargeable, prismatic</t>
  </si>
  <si>
    <t xml:space="preserve">Ref.1: Good battery enclosure designs using aluminium extrusions can simplify the assembly process and fixation of the individual battery modules (https://aluminiuminsider.com/aluminium-extrusions-are-winning-the-race-for-battery-enclosure-in-evs/. Accessed 27.03.2020)
Ref.2: For mass production electric vehicles, the aluminum sheet design is more cost-effective than aluminum extrusion and casting-intense designs. (https://novelis.com/wp-content/uploads/2019/04/Novelis-Battery-Enclosure-Factsheet.pdf. Accessed 30.03.2020)
According to an expert colleague, the best proxy would be "sheet rolling" + "deep drawing", as the starting material for deep drawing is a sheet. In Ecoinvent deep drawing is available only for steel. So it is suggested to use "impact extrusion of aluminium, 1 stroke" (more than one stroke -action of pressing with a hammer- is used generally to shape a deeper container, when the material would crack under the pressure impact of one single stroking). </t>
  </si>
  <si>
    <t xml:space="preserve">22% anode paste in NMC811 vs 20% in NMC111 per kg cell = 10% more in NMC811 than NMC111 </t>
  </si>
  <si>
    <t>from copper production, primary. No distinction between primary and secondary copper here nor in ecoinvent</t>
  </si>
  <si>
    <r>
      <t>Dai et al. 2017 analyse the energy consumption of the production of NMC cells, at factory level, with NMP used as solvent for cathode paste (NMP amount not specified). Authors report 56-71 MJ/kWh cell of heat consumed for electrode (i.e. cathode) drying &amp; NMP recovery, for 40,000 NMC cells produced over 300 working days. NMC cells are 43Ah, 3.7 V. The NMC battery in Dai 2019 is made of 140 cells, each of them 0.167 kWh, total weight 119.79 kg, 0.197 kWh/kg. Multiplying the average heat consumption (63.5 MJ/kWh cell) by 0.167 kWh, it is obtained 10.6045 MJ per cell, consumed to dry the amount of cathode paste in a full cell (</t>
    </r>
    <r>
      <rPr>
        <sz val="11"/>
        <rFont val="Calibri"/>
        <family val="2"/>
        <scheme val="minor"/>
      </rPr>
      <t>0.4119, without Al foil - new share updated after meeting with EmpaDü</t>
    </r>
    <r>
      <rPr>
        <sz val="11"/>
        <color theme="1"/>
        <rFont val="Calibri"/>
        <family val="2"/>
        <scheme val="minor"/>
      </rPr>
      <t>) The following proportion is applied to get the energy demand for drying 1 kg of cathode --&gt; 10.6045 MJ : 0.4119 kg cathode = X : 1 kg cathode (ref. product herein)
IVL 2019: NMP is flammable and therefore its drying process requires a large amount of heated air-flow to evaporate the gas and simultaneously keep it from being an explosive hazard (Wood III, et al., 2014). This makes it a considerable contributor to the energy required in cell manufacturing.</t>
    </r>
  </si>
  <si>
    <r>
      <t>Dai et al. 2017 analyse the energy consumption of the production of NMC cells, at factory level, with NMP used as solvent for cathode paste (NMP amount not specified). Authors report 56-71 MJ/kWh cell of heat consumed for electrode (i.e. cathode) drying &amp; NMP recovery, for 40,000 NMC cells produced over 300 working days. NMC cells are 43Ah, 3.7 V. The</t>
    </r>
    <r>
      <rPr>
        <b/>
        <sz val="11"/>
        <rFont val="Calibri"/>
        <family val="2"/>
        <scheme val="minor"/>
      </rPr>
      <t xml:space="preserve"> NMC811</t>
    </r>
    <r>
      <rPr>
        <sz val="11"/>
        <rFont val="Calibri"/>
        <family val="2"/>
        <scheme val="minor"/>
      </rPr>
      <t xml:space="preserve"> battery in Dai 2019 is made 0.184 kWh/cell (see calculation in "parameters" sheet). Multiplying the average heat consumption (63.5 MJ/kWh cell) by 0.184 kWh, it is obtained 11.59 MJ/cell i.e. the amount of energy per cell consumed to dry the amount of cathode paste. The following proportion is applied to get the energy demand for drying 1 kg of cathode --&gt; 11.59 MJ : 0.3773 kg cathode = X : 1 kg cathode (ref. product herein)
IVL 2019: NMP is flammable and therefore its drying process requires a large amount of heated air-flow to evaporate the gas and simultaneously keep it from being an explosive hazard (Wood III, et al., 2014). This makes it a considerable contributor to the energy required in cell manufacturing.</t>
    </r>
  </si>
  <si>
    <t xml:space="preserve">Sodium sulfate is an additional output from the reaction. According to Dai et al. (2018a), "Na2SO4 production from the reaction can be interpreted as sodium and sulfate removal and thus contributes to wastewater treatment". 
According tohttps://www.st-andrews.ac.uk/staff/policy/healthandsafety/publications/waste/waste-disposaloflaboratorywastesguidance/ , "Harmless soluble inorganic salts (including all drying agents such as CaCl2, MgSO4, Na2SO4, P2O5)"
mass balance between inputs and outputs of the reaction, considering 100% conversion efficiency according to Dai et al. (2018a).
conversion into m3: 1 kg = 0.001 m3
</t>
  </si>
  <si>
    <t>Cobalt sulfate, as from Dai et al. 2018 (economic allocation, aggregated. RefProd: 1 kg cobalt sulfate)</t>
  </si>
  <si>
    <t>Cobalt sulfate, as from Dai et al. 2018 (mass allocation, aggregated. RefProd: 1 kg cobalt sulfate)</t>
  </si>
  <si>
    <t>kg crude cobalt hydroxide</t>
  </si>
  <si>
    <t>battery, Li-ion, NCA, rechargeable, prismatic</t>
  </si>
  <si>
    <t>battery cell, NCA, Li-ion</t>
  </si>
  <si>
    <t>cathode, NMC811, for lithium-ion battery</t>
  </si>
  <si>
    <t>cathode, NCA, for lithium-ion battery</t>
  </si>
  <si>
    <t>NCA hydroxide</t>
  </si>
  <si>
    <t>Li-NCA-O2
(active material)</t>
  </si>
  <si>
    <t>NCA hydroxide (precursor)</t>
  </si>
  <si>
    <t>Original in Dai et al. 2018a: 85.96% cathode paste; 14.04% Al current collector. Adjusted to 93% cathode paste and 7% Al foil(s) according to EmpaDü battery experts.  --&gt; same share as for NMC111; see values in column J for final values.</t>
  </si>
  <si>
    <t>10.5% refers to the amount of electrolyte in a battery pack. Composition of electrolyte confirmed by Solvionic products (2019); in line with IVL 2017, where electrolyte is 9-12% at pack level. IVL 2019 refer to Dai 2018/2019 and PEFCR</t>
  </si>
  <si>
    <t>The original value refers to a 40 Ah, 3.7 V Li-ion cell in residential photovoltaic systems.</t>
  </si>
  <si>
    <t>Original internal composition from Dai et al. 2019a is reported in column C. However, we adjusted it based on knowledge from EmpaDü battery experts as the amount of active material is very low and the CB mass is very high: CB 2.5%, PVDF 2.5%, NMC active material 95% (see final values in column J )</t>
  </si>
  <si>
    <t xml:space="preserve">The original internal composition from Dai et al. 2018a has been firstly adapted based on Dai et al. (2019), then has been adjusted based on the knowledge from EmpaDü battery experts, to account for carbon black and Si-coating. Adapted anode without Cu foil: 92% graphite, 1% CB, 3% CMC, 2% SBR, 2% Silicon coating. </t>
  </si>
  <si>
    <t xml:space="preserve">Philippot et al., 2019a; Schmuch et al. 2018 </t>
  </si>
  <si>
    <t>The original internal composition from Dai et al. 2019a is reported in column C. However, we adjusted it based on knowledge from EmpaDü battery experts as the amount of active material is very low and the CB mass is very high: CB 2.5%, PVDF 2.5%, NMC active material 95% (see values in column J for EI)</t>
  </si>
  <si>
    <t xml:space="preserve">GREET2_2019 model </t>
  </si>
  <si>
    <t>Dai et al. 2018a state: "the water balance of the plant shows that the production process only consumes water via evaporative loss, which is estimated to be 0.7t/t precursor produced", and this amount is included in the inputs in Table 6.
Same amount reported for both NMC111, NMC811 and NCA</t>
  </si>
  <si>
    <t xml:space="preserve">the inventory based on the procedure described in Hischier et al. (2005) is reported below. </t>
  </si>
  <si>
    <t xml:space="preserve">It can be produced by treating any basic sodium compound with sulphur dioxide (Habgood &amp; Painter, 1972). 
Sodium disulfite is produced by treating 50 –70 % sodium hydroxide (or a suspension of sodium carbonate) with sulfur-dioxide containing gases in saturated sodium hydrogensulfite solution (Barbera et al., 2012; also reported in Lewrén 2019, Table C26)
2SO2 + 2NaOH --&gt; Na2S2O5 + H2O
According to the default modelling of chemicals in ecoinvent, the reaction efficiency is 95%. </t>
  </si>
  <si>
    <t>Comments/assumptions based on the original sources, and/or additional notes to help the mapping process</t>
  </si>
  <si>
    <t>NMC111, this study (ReCiPe 2008)</t>
  </si>
  <si>
    <t>NMC111, this study (EF)</t>
  </si>
  <si>
    <t>NMC811, this study (EF)</t>
  </si>
  <si>
    <t xml:space="preserve">NCA, this study (EF) </t>
  </si>
  <si>
    <t>NMC811, this study (ReCiPe 2008)</t>
  </si>
  <si>
    <t xml:space="preserve">NCA, this study (ReCiPe 2008) </t>
  </si>
  <si>
    <t>NMC111, Ellingsen et al. 2014 - LBV</t>
  </si>
  <si>
    <t>NMC111, Ellingsen et al. 2014 - ASV</t>
  </si>
  <si>
    <t>NMC111, Ellingsen et al. 2014 - AVV</t>
  </si>
  <si>
    <t>Results LCIA_cf. literature</t>
  </si>
  <si>
    <t>u.chem., Emilson &amp; Dahllöf 2019 (avg)</t>
  </si>
  <si>
    <t>u.chem. =  unspecified chemistry</t>
  </si>
  <si>
    <t>avg = average</t>
  </si>
  <si>
    <t>Legend:</t>
  </si>
  <si>
    <t>EF = Environmental Footprint method</t>
  </si>
  <si>
    <t>LBV = low band value for electricity consumption</t>
  </si>
  <si>
    <t>ASV = asymptotic value for electricity consumption</t>
  </si>
  <si>
    <t>AVV = average value for electricity consumption</t>
  </si>
  <si>
    <t>u.chem., Romare &amp; Dahllöf 2017 (avg)</t>
  </si>
  <si>
    <t>Hischier et al. 2005</t>
  </si>
  <si>
    <t>hydrochloric acid</t>
  </si>
  <si>
    <t>water, to water</t>
  </si>
  <si>
    <t>hazardous waste, for incineration</t>
  </si>
  <si>
    <t>Wastewater</t>
  </si>
  <si>
    <t>Amount from Notter et al. (2010). Fleece replaced by PE granulate &amp; extrusion, as considered better proxies by expert judgements (project partners, battery experts.)</t>
  </si>
  <si>
    <t>calculated value to obtain mass balance with input water.</t>
  </si>
  <si>
    <t>spent solvent mixture</t>
  </si>
  <si>
    <t>Calculated value to obtain mass balance. Disposal of NaOH and H2SO4 used in the pretreatment of the aluminium foil.</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</si>
  <si>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</si>
  <si>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Proxy for factory. The amount has been taken from Classen et al. (2009) assuming a lifetime of 50 years and a annual production capacity of 130'000'000 kg.</t>
  </si>
  <si>
    <t>Classen et al., 2009</t>
  </si>
  <si>
    <t>Steiner, R., Frischknecht R. (2007) Metals Processing and Compressed Air Supply. ecoinvent report No. 23. Swiss Centre for Life Cycle Inventories, Dübendorf, 2007</t>
  </si>
  <si>
    <t>Steiner &amp; Frischknecht, 2007</t>
  </si>
  <si>
    <t>The module packaging is assumed to be produced in a metal working factory, Default amount for metal working factory, from Steiner &amp; Frischknecht (2007)</t>
  </si>
  <si>
    <t>cobalt sulfate (formula: CoSO4). Adapted from Dai et al. 2018, Lewrén 2019</t>
  </si>
  <si>
    <t xml:space="preserve">Calculated value to obtain mass balance with water input. </t>
  </si>
  <si>
    <t>Water assumed to be used for cooling, due to the relatively high energy consumption.</t>
  </si>
  <si>
    <t>Calculated as (cobalt hydroxide + limestone + sulfuric acid + hydrocloric acid + kerosene + disodium) - reference product - water output * WM water</t>
  </si>
  <si>
    <t>Co MW = 58.933 g/mol; CoSo4 MW =  154.996 g/mol.</t>
  </si>
  <si>
    <t>Cobalt hydroxide is used in reaction with sulfuric acid to produce cobalt sulfate.</t>
  </si>
  <si>
    <t>Althaus et al., 2008</t>
  </si>
  <si>
    <t>Gendorf, 2000</t>
  </si>
  <si>
    <t>Standard average value in ecoinvent --&gt; 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Reference: Althaus et al. (2008); Gendorf (2000)</t>
  </si>
  <si>
    <t>Calculated value. Water from the reaction of Co(OH)2 + H2SO4 --&gt; CoSO4 + 2H2O. CoSO4 MW = 154.996 g/mol; H2O MW = 18.015 g/mol. The reaction is a precipiation with separation solid (cobalt sulfate) and liquid (water).</t>
  </si>
  <si>
    <t>Calculated value, as (cobalt hydroxide + limestone + sulfuric acid + hydrocloric acid + kerosene + disodium) - reference product - water output * WM water</t>
  </si>
  <si>
    <t>oxygen</t>
  </si>
  <si>
    <t xml:space="preserve">standard value in Ecoinvent --&gt; 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Althaus wet al. (2008); Gendorf (2000) </t>
  </si>
  <si>
    <t xml:space="preserve">calculated value to obtain mass balance. It represents the oxygen amount in CO2 emission. Calculated based on atomic weight ratio. </t>
  </si>
  <si>
    <t>FromEnvironment, air</t>
  </si>
  <si>
    <t>Airborne emission based on the following reaction: NMC(OH)2 + Li2CO3 --&gt; Li-NMC-O2 + CO2 + H2O.</t>
  </si>
  <si>
    <t>Calculated value to obtain mass balance between inputs and outputs. The final product is powder, no liquid solution as output. So water evaporates in the air</t>
  </si>
  <si>
    <t>Mass balance, with ammonia liquid input.</t>
  </si>
  <si>
    <t xml:space="preserve">Calculated value. 0.12 kg NH4OH are used to enhance the co-precipitation phase. Then it is recovered in a closed loop in form of ammonia (NH3) after the stripping process and reused in the precursor production process (Dai et al., 2018). The amount of ammonia recovered and reintegrated in the system is accounted here. According to USEPA (2000) and Kinidi et al. (2018) the efficiency of the ammonia stripping process is relatively high, on average 90%, meaning that 10% input ammonia is lost (via evaporation) and the same amount needs to be reintegrated in the initial system to feed  the co-precipitation process. NH3 = 17.031 g/mol; NH4OH = 35.037 g/mol. NH3/NH4OH = 49%
</t>
  </si>
  <si>
    <t>sodium sulfate</t>
  </si>
  <si>
    <t>Sodium sulfate</t>
  </si>
  <si>
    <t>Sodium sulfate is an additional output from the reaction. According to Dai et al. (2018a), "Na2SO4 production from the reaction can be interpreted as sodium and sulfate removal and thus contributes to wastewater treatment". 
According tohttps://www.st-andrews.ac.uk/staff/policy/healthandsafety/publications/waste/waste-disposaloflaboratorywastesguidance/ , "Harmless soluble inorganic salts (including all drying agents such as CaCl2, MgSO4, Na2SO4, P2O5)"
mass balance between inputs and outputs of the reaction, considering 100% conversion efficiency according to Dai et al. (2018a).</t>
  </si>
  <si>
    <t xml:space="preserve">Sodium sulfate is an additional output from the reaction. According to Dai et al. (2018a), "Na2SO4 production from the reaction can be interpreted as sodium and sulfate removal and thus contributes to wastewater treatment". 
According to https://www.st-andrews.ac.uk/staff/policy/healthandsafety/publications/waste/waste-disposaloflaboratorywastesguidance/ , "Harmless soluble inorganic salts (including all drying agents such as CaCl2, MgSO4, Na2SO4, P2O5)"
mass balance between inputs and outputs of the reaction, considering 100% conversion efficiency according to Dai et al. (2018a).
</t>
  </si>
  <si>
    <t>Ecoinvent standard value for chemical default modelling</t>
  </si>
  <si>
    <t xml:space="preserve">As for Aluminium foil, similar amount per kg metal. To neutralize H2SO4, NaOH is used. This is a calculated value,  based on stoichiometric calculation, following the reaction  2NaOH + H2SO4 = Na2SO4 + H2O. Therefore 1 kg NaOH is neutralized with 0.62 kg H2SO4. NaOH = 39.99 g/mol; H2SO4 = 99.036 g/mol </t>
  </si>
  <si>
    <t xml:space="preserve">As for Aluminium foil, similar amount per kg metal. </t>
  </si>
  <si>
    <t>Sulfuric acid</t>
  </si>
  <si>
    <t>EF 3.0 Method (adapted) V1.00 / EF 3.0 normalization and weighting set</t>
  </si>
  <si>
    <t>Ionising radiation</t>
  </si>
  <si>
    <t>Photochemical ozone formation</t>
  </si>
  <si>
    <t>Particulate matter</t>
  </si>
  <si>
    <t>Human toxicity, non-cancer</t>
  </si>
  <si>
    <t>Human toxicity, cancer</t>
  </si>
  <si>
    <t>Acidification</t>
  </si>
  <si>
    <t>Eutrophication, freshwater</t>
  </si>
  <si>
    <t>Eutrophication, marine</t>
  </si>
  <si>
    <t>Eutrophication, terrestrial</t>
  </si>
  <si>
    <t>Ecotoxicity, freshwater</t>
  </si>
  <si>
    <t>Water use</t>
  </si>
  <si>
    <t>Resource use, fossils</t>
  </si>
  <si>
    <t>Resource use, minerals and metals</t>
  </si>
  <si>
    <t>Climate change - Fossil</t>
  </si>
  <si>
    <t>Climate change - Biogenic</t>
  </si>
  <si>
    <t>Climate change - Land use and LU change</t>
  </si>
  <si>
    <t>Human toxicity, non-cancer - organics</t>
  </si>
  <si>
    <t>Human toxicity, non-cancer - inorganics</t>
  </si>
  <si>
    <t>Human toxicity, non-cancer - metals</t>
  </si>
  <si>
    <t>Human toxicity, cancer - organics</t>
  </si>
  <si>
    <t>Human toxicity, cancer - inorganics</t>
  </si>
  <si>
    <t>Human toxicity, cancer - metals</t>
  </si>
  <si>
    <t>Ecotoxicity, freshwater - organics</t>
  </si>
  <si>
    <t>Ecotoxicity, freshwater - inorganics</t>
  </si>
  <si>
    <t>Ecotoxicity, freshwater - metals</t>
  </si>
  <si>
    <t>Sodium metabisulfite/disodium disuplhite</t>
  </si>
  <si>
    <t>Cobalt sulfate, as from Lewrén 2019 (economic allocation, 3 sub-datasets) adapted (see manuscript for details)</t>
  </si>
  <si>
    <t>Separator, single layer, coated, PE &amp; extrusion</t>
  </si>
  <si>
    <t>3. Separator, single layer, coated, PE granulate &amp; injection moulding</t>
  </si>
  <si>
    <t>4. Separator, single layer, coated, PE packaging film</t>
  </si>
  <si>
    <t>5. Separator, single layer, no coating, PE granulate &amp; extrusion plastic film</t>
  </si>
  <si>
    <t>Alternative LCI_cobalt sulfate</t>
  </si>
  <si>
    <t>Alternative LCI_separator</t>
  </si>
  <si>
    <t>Alternative modelling options for: cobalt sulfate (options based on Dai et al. 2018 mass/economic allocation, plus default modelling of chemicals)</t>
  </si>
  <si>
    <t>Alternative modelling options for separator based on different combinations of plastic materials, processing &amp; coating</t>
  </si>
  <si>
    <t>Data &amp; calculation based on Pettinger &amp; Dong (2017), for li-ion cell manufacturing. Mainly difference between use of water-based and NMP-based solvent in the electrode slurries</t>
  </si>
  <si>
    <t>Ecoinvent LCIA results for cobalt hydroxide, cut off system</t>
  </si>
  <si>
    <t>IPCC 2013</t>
  </si>
  <si>
    <t>kg CO2-Eq</t>
  </si>
  <si>
    <t xml:space="preserve">Product: </t>
  </si>
  <si>
    <t>1 kg 01_Battery cell, NMC111, prismatic_NG-GLO_CoSo4 from Dai/Lewrén_separator SLnCPE_split electrode_Si 0%_final (revised) (of project Test_01)</t>
  </si>
  <si>
    <t>IPCC 2013 GWP 100a V1.03</t>
  </si>
  <si>
    <t>IPCC GWP 100a</t>
  </si>
  <si>
    <t>Inventory level - share in mass of cobalt hydroxide in 1 kg of:</t>
  </si>
  <si>
    <t>Inventory level - share in mass of cobalt sulfate in 1 kg of:</t>
  </si>
  <si>
    <t>cell</t>
  </si>
  <si>
    <t>pack</t>
  </si>
  <si>
    <t>the impact of cobalt hydroxide (Lewrén 2019) in 1 kg cobalt sulfate</t>
  </si>
  <si>
    <t xml:space="preserve">the impact of cobalt sulfate (Lewrén 2019) in 1 kg NMC111 </t>
  </si>
  <si>
    <t>share of impacts of cobalt sulfate (Lewrén 2019) with respect to the impact of 1 kg NMC111</t>
  </si>
  <si>
    <t>the impact of cobalt hydroxide (ecoinvent 3.7) in 1 kg cobalt sulfate</t>
  </si>
  <si>
    <t>the impact of cobalt sulfate (ecoinvent 3.7) in 1 kg NMC811</t>
  </si>
  <si>
    <t>impact of cobalt sulfate (ecoinvent 3.7) in 1 kg NMC111 is 2 times higher than the impact of cobalt sulfate (Lewrén 2019)</t>
  </si>
  <si>
    <t>new impact of 1 kg NMC111 considering the impact of cobalt sulfate (ecoinvent 3.7)</t>
  </si>
  <si>
    <t xml:space="preserve">kg Co2 eq/kWh </t>
  </si>
  <si>
    <t>Indicator: GWP 100a no LT</t>
  </si>
  <si>
    <t>SimaPro LCIA results for cobalt hydroxide (14.01.2021)</t>
  </si>
  <si>
    <t xml:space="preserve">1 kg cobalt hydroxide </t>
  </si>
  <si>
    <t>SimaPro LCIA results for cobalt sulfate as modelled herein (14.01.2021)</t>
  </si>
  <si>
    <t>SimaPro LCIA results for NMC111 cell as modelled herein (14.01.2021)</t>
  </si>
  <si>
    <t xml:space="preserve">1 kg cobalt sulfate (adapted from Lewré,, 2019; Dai et al., 2018b) </t>
  </si>
  <si>
    <t>EF 3.0 method</t>
  </si>
  <si>
    <t>Method</t>
  </si>
  <si>
    <t>IPCC2013 results:</t>
  </si>
  <si>
    <t>EF2013 results (knowing that obalt hydroxide from Ecoinvent is with IPCC2013)</t>
  </si>
  <si>
    <t>kg/kWh of NMC111</t>
  </si>
  <si>
    <t>cobalt ecoinvent 3.7</t>
  </si>
  <si>
    <t>estimate of the climate change related impact of NMC111 considering the use of cobalt hydroxide from ecoinvent v.3.7</t>
  </si>
  <si>
    <t>Pretreatment phase. NaOH is used for Al foil cleaning (making a subtle film of aluminium oxide) after rolling. Explanation of why it is important to remove grains from foil: https://www.innovaltec.com/aluminium-surface-cleaning-overview-blog/ (Accessed 19.03.2020)
"Alkaline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Calculation based on Notter et al. 2010. For 0.393 kg of Al foil, 0.13 kg of NaOH are used --&gt; For 1 kg of Al foil, 0.3308 kg NaOH are used</t>
  </si>
  <si>
    <t xml:space="preserve">       The LCI data sets in .spold format are available 
upon request to the corresponding author.</t>
  </si>
  <si>
    <t>(Note: this is IPCC2013 result, because EF3.0 LCIA results are not available in EI v.3.7)</t>
  </si>
  <si>
    <t>Instruction for reading the three LIB chemistry sheets:</t>
  </si>
  <si>
    <t>Each sheet is structured in the following columns:</t>
  </si>
  <si>
    <t>col.A</t>
  </si>
  <si>
    <t xml:space="preserve">Romare, M., &amp; Dahllöf, L. (2017). The life cycle energy consumption and greenhouse gas emissions from lithium-ion batteries - A study with focus on current technology and batteries for light-duty vehicle. Report No. C 243. IVL Swedish Environmental Research Institute, Stockholm, Sweden. </t>
  </si>
  <si>
    <t xml:space="preserve">Full references (in order of appearance): </t>
  </si>
  <si>
    <t>Michaelis, S., Maiser, E., Kampker, A., Heimes, H., Lienemann, C., Wessel, S., &amp; Hettesheimer, T. (2016). Roadmap Battery Production Equipment 2030 – Update 2016. VDMA, Verband Deutscher Maschinen- und Anlagenbau, Frankfurt am Main, Germany.</t>
  </si>
  <si>
    <t xml:space="preserve">Dai, Q., Dunn, J., Kelly, J., &amp; Elgowainy, A. (2017). Update of Life Cycle Analysis of Lithium-Ion Batteries in the GREET Model. Energy Systems Division, Argonne National Laboratory (ANL), IL, US. </t>
  </si>
  <si>
    <t>Emilsson, E., &amp; Dahllöf, L. (2019). Lithium-Ion Vehicle Battery Production - Status 2019 on energy use, CO2 emissions, use of metals, products environmental footprint, and recycling. Report No. C 444. IVL Swedish Environmental Research Institute, Stockholm, Sweden.</t>
  </si>
  <si>
    <t xml:space="preserve">Ellingsen, L. A. W., Majeau‐Bettez, G., Singh, B., Srivastava, A. K., Valøen, L. O., &amp; Strømman, A. H. (2014). Life cycle assessment of a lithium‐ion battery vehicle pack. Journal of Industrial Ecology, 18(1), 113-124. </t>
  </si>
  <si>
    <t xml:space="preserve">Dai, Q., Kelly, J. C., Gaines, L., &amp; Wang, M. (2019). Life cycle analysis of lithium-ion batteries for automotive applications. Batteries, 5(2), 48. </t>
  </si>
  <si>
    <t xml:space="preserve">Cox, B., Bauer, C., Beltran, A. M., van Vuuren, D. P., &amp; Mutel, C. L. (2020). Life cycle environmental and cost comparison of current and future passenger cars under different energy scenarios. Applied Energy, 269, 115021. </t>
  </si>
  <si>
    <t>Notter, D. A., Gauch, M., Widmer, R., Wager, P., Stamp, A., Zah, R., &amp; Althaus, H.-J. (2010). Contribution of Li-ion batteries to the environmental impact of electric vehicles. Environmental Science &amp;Technology, 44(17), 6550–6556.</t>
  </si>
  <si>
    <t xml:space="preserve">Lewrén, A. (2019). Life cycle assessment of nickel-rich lithium-ion battery for electric vehicles - A comparative LCA between the cathode chemistries NMC 333 and NMC 622. Report No. E2019:124. Department of Technology Management and Economics, Division of Environmental System Analysis, Chalmers University of Technology, Gothenburg, Sweden. </t>
  </si>
  <si>
    <t>Ahmed, S., Nelson, P. A., Gallagher, K. G., &amp; Dees, D. W. (2016). Energy impact of cathode drying and solvent recovery during lithium ion battery manufacturing. Journal of Power Sources 322, 169-178</t>
  </si>
  <si>
    <t xml:space="preserve">Althaus H.-J., Chudacoff M., Hischier R., Jungbluth N., Osses M. &amp; Primas A. (2007) Life Cycle Inventories of Chemicals. ecoinvent report No. 8, v2.0. EMPA Dübendorf, Swiss Centre for Life Cycle Inventories, Dübendorf, CH. </t>
  </si>
  <si>
    <t>Castejón, P., Arencón, D., Antunes, M., Realinho, V., Velasco, J. I., &amp; Martínez, A.B. (2018). Porous membranes based on polypropylene-ethylene copolymers. Influence of temperature on extrusion, annealing and uniaxial strain stages. Polymers, 10(8), 854.</t>
  </si>
  <si>
    <t>Cerdas, F., Titscher, P., Bognar, N., Schmuch, R., Winter, M., Kwade, A., &amp; Herrmann, C. (2018). Exploring the effect of increased energy density on the environmental impacts of traction batteries: A comparison of energy optimized lithium-ion and lithium-sulfur batteries for mobility applications. Energies, 11(1), 150.</t>
  </si>
  <si>
    <t>Classen M., Althaus H.-J., Blaser S., Tuchschmid M., Jungbluth N., Doka G., Faist Emmenegger M. &amp; Scharnhorst W. (2009) Life Cycle Inventories of Metals. Final report ecoinvent data v2.1, No 10. EMPA Dübendorf, Swiss Centre for Life Cycle Inventories, Dübendorf, CH</t>
  </si>
  <si>
    <t xml:space="preserve">Dai, Q., Kelly, J., &amp; Elgowainy, A. (2018b). Cobalt life cycle analysis update for the GREET model. Energy Systems Division, Argonne National Laboratory (ANL), IL, US. </t>
  </si>
  <si>
    <t>https://greet.es.anl.gov/publications</t>
  </si>
  <si>
    <t>https://www.jstor.org/stable/44741032?seq=1</t>
  </si>
  <si>
    <t xml:space="preserve">Ap, N. S. (1998). Electric Vehicle Cooling System. Comparison of Ethylene Glycol-Water and Fluorinert FC72. SAE transactions, 1015-1023. </t>
  </si>
  <si>
    <t xml:space="preserve">Barberá, J.J., Metzger, A., &amp; Wolf, M. (2012). Sulfites, Thiosulfates, and Dithionites. Ullmann Encyclopedia of Industrial Chemistry. </t>
  </si>
  <si>
    <t>https://onlinelibrary.wiley.com/doi/pdf/10.1002/14356007.a25_477</t>
  </si>
  <si>
    <t xml:space="preserve">Benavides, P.T., Dai, Q., Kelly, J., &amp; Dunn, J.B., 2016. Addition of nickel cobalt aluminium (NCA) cathode material to GREET2. Energy Systems Division, Argonne National Laboratory (ANL), IL, US. </t>
  </si>
  <si>
    <t>Dai, Q., Kelly, J., Dunn, J., &amp; Benavides, P. (2018a). Update of bill-of-materials and cathode materials production for lithium-ion batteries in the GREET model. Energy Systems Division, Argonne National Laboratory (ANL), IL, US.</t>
  </si>
  <si>
    <t>https://onlinelibrary.wiley.com/doi/pdf/10.1002/14356007.a07_281.pub2</t>
  </si>
  <si>
    <t xml:space="preserve">Donaldson, J. D., &amp; Beyersmann, D. (2000). Cobalt and cobalt compounds. Ullmann's Encyclopedia of Industrial Chemistry. </t>
  </si>
  <si>
    <t xml:space="preserve">Dunn, J. B., James, C., Gaines, L., Gallagher, K., Dai, Q., &amp; Kelly, J. C. (2015). Material and energy flows in the production of cathode and anode materials for lithium ion batteries. Energy Systems Division, Argonne National Laboratory (ANL), IL, US. </t>
  </si>
  <si>
    <t>Frischknecht, R., Jungbluth, N., Althaus, H. J., Doka, G., Dones, R., Heck, T., ... &amp; Spielmann, M. (2005). The ecoinvent database: Overview and methodological framework (7 pp). The international journal of life cycle assessment, 10(1), 3-9.</t>
  </si>
  <si>
    <t>Gendorf (2000). Umwelterklärung 2000, Werk Gendorf. Werk Gendorf, Burgkirchen.om ecoinvent</t>
  </si>
  <si>
    <t>https://ags.aer.ca/document/OFR/OFR_1972_16.pdf</t>
  </si>
  <si>
    <t>Habgood, H.W. &amp; Painter, T.M. (1972). The Manufacture of Sodium Pyrosulphite (Sodium metabisulphite). Research Council of Alberta, US.</t>
  </si>
  <si>
    <t>https://doi.org/10.1063/1.4878483</t>
  </si>
  <si>
    <t>Herrmann, M. (2014). Package - Materials review. AIP Conference Proceedings 1597, 121.</t>
  </si>
  <si>
    <t>Hischier, R., Hellweg, S., Capello, C., &amp; Primas, A. (2005). Establishing life cycle inventories of chemicals based on differing data availability (9 pp). The International Journal of Life Cycle Assessment, 10(1), 59-67.</t>
  </si>
  <si>
    <t>Kinidi, L., Tan, I. A. W., Wahab, A., Binti, N., Tamrin, K. F. B., Hipolito, C. N., &amp; Salleh, S. F. (2018). Recent development in ammonia stripping process for industrial wastewater treatment. International Journal of Chemical Engineering, 2018.</t>
  </si>
  <si>
    <t>Kwade, A., Haselrieder, W., Leithoff, R., Modlinger, A., Dietrich, F., &amp; Droeder, K. (2018). Current status and challenges for automotive battery production technologies. Nature Energy, 3(4), 290-300.</t>
  </si>
  <si>
    <t>Lagadec, M. F., Zahn, R., &amp; Wood, V. (2019). Characterization and performance evaluation of lithium-ion battery separators. Nature Energy, 4(1), 16-25.</t>
  </si>
  <si>
    <t>Lee, H., Yanilmaz, M., Toprakci, O., Fu, K., &amp; Zhang, X. (2014). A review of recent developments in membrane separators for rechargeable lithium-ion batteries. Energy &amp; Environmental Science, 7(12), 3857-3886.</t>
  </si>
  <si>
    <t>Majeau-Bettez, G., Hawkins, T. R., &amp; Strømman, A. H. (2011). Life cycle environmental assessment of lithium-ion and nickel metal hydride batteries for plug-in hybrid and battery electric vehicles. Environmental science &amp; technology, 45(10), 4548-4554.</t>
  </si>
  <si>
    <t xml:space="preserve">Siret, C., Tytgat, J., Ebert, T., Mistry, M., Thirlaway, C., Schutz, B., &amp; Carrillo, V. (2018). PEFCR -Product Environmental Footprint Category Rules for High Specific Energy Rechargeable Batteries for Mobile Applications. Version H. RECHARGE – The Advanced Rechargeable &amp; Lithium Batteries Association. </t>
  </si>
  <si>
    <t>Philippot, M., Alvarez, G., Ayerbe, E., Van Mierlo, J., &amp; Messagie, M. (2019a). Eco-efficiency of a lithium-ion battery for electric vehicles: influence of manufacturing country and commodity prices on GHG emissions and costs. Batteries, 5(1), 23.</t>
  </si>
  <si>
    <t>Philippot, M., Smekens, J., van Mierlo, J.O.E.R.I., &amp; Messagie, M. (2019b). Life cycle assessment of silicon alloy-based lithium-ion battery for electric vehicles. WIT transactions on the built environment, 182, 129-139.</t>
  </si>
  <si>
    <t>Heimes, H. H., Kampker, A., Lienemann, C., Locke, M., Offermanns, C., Michaelis, S., &amp; Rahimzei, E. (2019a). Lithium ion battery cell production process. RWTH Aachen and VDMA, Verband Deutscher Maschinen- und Anlagenbau, Frankfurt am Main, Germany. ISBN: 978-3-947920-03-7</t>
  </si>
  <si>
    <t xml:space="preserve">Heimes, H. H., Kampker, A., Wessel, S., Kehrer, M., Michaelis, S., &amp; Rahimzei, E. (2019b). Battery module and pack assembly process. RWTH Aachen and VDMA, Verband Deutscher Maschinen- und Anlagenbau, Frankfurt am Main, Germany. ISBN: 978-3-947920-05-1 </t>
  </si>
  <si>
    <t>Schmuch, R., Wagner, R., Hörpel, G., Placke, T., &amp; Winter, M. (2018). Performance and cost of materials for lithium-based rechargeable automotive batteries. Nature Energy, 3(4), 267-278.</t>
  </si>
  <si>
    <t>Seifert et al. 2002</t>
  </si>
  <si>
    <t>Seifert, B., Becker, S., &amp; Neuschütz, M. (2002). U.S. Patent No. 6,395,908. Washington, DC: U.S. Patent and Trademark Office.</t>
  </si>
  <si>
    <t>Solvionic, 2019. Cleaner solvents for sustainable chemistry - 1M LiPF6 in EC:DMC (1:1 vol.%) with 2%wt. VC 99.9%. Accessed December 2019</t>
  </si>
  <si>
    <t>Tesla graph</t>
  </si>
  <si>
    <t>(Researchgate, answer from Nupur Nikkan Sinha, Tesla Motors, Dec. 2014)</t>
  </si>
  <si>
    <t xml:space="preserve">USEPA - United States Environmental Protection Agency, 2000. Wastewater Technology Fact Sheet Ammonia Stripping. EPA 832-F-00-019. National Service Center for Environmental Publications (NSCEP). Accessed 23.03.2020. </t>
  </si>
  <si>
    <t>Wang, M. (1999). The Greenhouse Gases, Regulated Emissions, and Energy Use in Transportation (GREET) Model Version 1.5. Center for Transportation Research, Argonne National Laboratory, IL, US.</t>
  </si>
  <si>
    <t>http://eng.sut.ac.th/transportenergy/data/paper4web/The%20GHG%20regulated%20emission%20and%20energy%20use%20in%20transportation%20model%20-%2099.pdf</t>
  </si>
  <si>
    <t>Vinylene carbonate, from Wikipedia the free Encyclopedia. Accessed 24.03.2020.</t>
  </si>
  <si>
    <t>https://en.wikipedia.org/wiki/Vinylene_carbonate</t>
  </si>
  <si>
    <t xml:space="preserve">Zackrisson, M. (2017). Life cycle assessment of long life lithium electrode for electric vehicle batteries: cells for Leaf, Tesla and Volvo bus. Project Report 24603/2. Swerea IVF, Mölndal, Sweden. </t>
  </si>
  <si>
    <t>Steiner R. and Frischknecht R. (2007) Life Cycle Inventories of Metal Processing and Compressed Air Supply. Final report ecoinvent data v2.0, No. 23. Swiss Centre for Life Cycle Inventories, Dübendorf, CH.</t>
  </si>
  <si>
    <t>Triethyl ammonium</t>
  </si>
  <si>
    <t>Stoichiometric calculation, based on molecular weight of triethyl ammonium (NC6H16+) in final product vinyl carbonate (C3H2O3), and 95% reaction efficiency. NC6H16+= 102.2 g/mol; C3H2O3 =86.02 g/mol</t>
  </si>
  <si>
    <t>Stoichiometric calculation, based on molecular weight of chloride (Cl-) in final product vinyl carbonate (C3H2O3), and 95% reaction efficiency. Cl = 35.45 g/mol; C3H2O3 =86.02 g/mol</t>
  </si>
  <si>
    <t xml:space="preserve">Calculated to obtain mass balance, due to not full efficiency of the reaction and disposal of unreacted substances. </t>
  </si>
  <si>
    <t>Recovery via evaporation into air: ca. 98% (IVL 2019, based on Deng et al. 2015). NMP is generally recovered for future processes. We account for the impact of (1-0.98) amount, that is the amount to be reintegrated in the system due to a loss . Same for the output, lost via evaporatiion. Ref. Cloutier 2015.</t>
  </si>
  <si>
    <t>Cloutier, 2015</t>
  </si>
  <si>
    <t xml:space="preserve">Cloutier, Julie, 2015. Est-ce que le stockage d’énergie au Québec pourrait être avantageux d’un point de vue environnemental? Analyse du cycle de vie attributionnelle et conséquentielle. MSc. Env. Dissertation, University of Sherbrooke. </t>
  </si>
  <si>
    <t>https://www.usherbrooke.ca/environnement/fileadmin/sites/environnement/documents/Essais_2015/Cloutier_Julie_MEnv_2015.pdf</t>
  </si>
  <si>
    <t xml:space="preserve">Calculation: </t>
  </si>
  <si>
    <t>Compare</t>
  </si>
  <si>
    <t xml:space="preserve">Product 1: </t>
  </si>
  <si>
    <t>1 kg 03_Battery pack, NMC111_BMS from Ellingsen_v2_NG-GLO_CoSo4 from Dai/Lewrén_sepSLCPE&amp;Extr_split electrode_Si 0%_final (revised) (of project Test_01)</t>
  </si>
  <si>
    <t xml:space="preserve">Product 2: </t>
  </si>
  <si>
    <t>1 kg 03_Battery pack, NMC811_BMS from Ellingsen_v2_NG-GLO_CoSo4 from Dai/Lewrén_SLCPE&amp;Extr_Electricity CN_Final (revised) (of project Test_01)</t>
  </si>
  <si>
    <t xml:space="preserve">Product 3: </t>
  </si>
  <si>
    <t>1 kg 03_Battery pack, NCA_BMS from Ellingsen_v2_NG-GLO_CoSo4 from Dai/Lewrén_SLCPE&amp;Extr_Electricity CN_Final (revised) (of project Test_01)</t>
  </si>
  <si>
    <t xml:space="preserve">Skip categories: </t>
  </si>
  <si>
    <t>Never</t>
  </si>
  <si>
    <t xml:space="preserve">Exclude infrastructure processes: </t>
  </si>
  <si>
    <t>No</t>
  </si>
  <si>
    <t xml:space="preserve">Sorted on item: </t>
  </si>
  <si>
    <t xml:space="preserve">Sort order: </t>
  </si>
  <si>
    <t>Ascending</t>
  </si>
  <si>
    <t>03_Battery pack, NMC111_BMS from Ellingsen_v2_NG-GLO_CoSo4 from Dai/Lewrén_sepSLCPE&amp;Extr_split electrode_Si 0%_final (revised)</t>
  </si>
  <si>
    <t>03_Battery pack, NMC811_BMS from Ellingsen_v2_NG-GLO_CoSo4 from Dai/Lewrén_SLCPE&amp;Extr_Electricity CN_Final (revised)</t>
  </si>
  <si>
    <t>03_Battery pack, NCA_BMS from Ellingsen_v2_NG-GLO_CoSo4 from Dai/Lewrén_SLCPE&amp;Extr_Electricity CN_Final (revised)</t>
  </si>
  <si>
    <t>9.04.2021</t>
  </si>
  <si>
    <t>ReCiPe Midpoint (H) V1.13 / Europe Recipe H</t>
  </si>
  <si>
    <t>kg CFC-11 eq</t>
  </si>
  <si>
    <t>Terrestrial acidification</t>
  </si>
  <si>
    <t>kg SO2 eq</t>
  </si>
  <si>
    <t>Freshwater eutrophication</t>
  </si>
  <si>
    <t>Marine eutrophication</t>
  </si>
  <si>
    <t>Human toxicity</t>
  </si>
  <si>
    <t>kg 1,4-DB eq</t>
  </si>
  <si>
    <t>Photochemical oxidant formation</t>
  </si>
  <si>
    <t>kg NMVOC</t>
  </si>
  <si>
    <t>Particulate matter formation</t>
  </si>
  <si>
    <t>kg PM10 eq</t>
  </si>
  <si>
    <t>Terrestrial ecotoxicity</t>
  </si>
  <si>
    <t>Freshwater ecotoxicity</t>
  </si>
  <si>
    <t>Marine ecotoxicity</t>
  </si>
  <si>
    <t>kBq U235 eq</t>
  </si>
  <si>
    <t>Agricultural land occupation</t>
  </si>
  <si>
    <t>m2a</t>
  </si>
  <si>
    <t>Urban land occupation</t>
  </si>
  <si>
    <t>Natural land transformation</t>
  </si>
  <si>
    <t>m2</t>
  </si>
  <si>
    <t>Water depletion</t>
  </si>
  <si>
    <t>Metal depletion</t>
  </si>
  <si>
    <t>kg Fe eq</t>
  </si>
  <si>
    <t>Fossil depletion</t>
  </si>
  <si>
    <t>kg oil eq</t>
  </si>
  <si>
    <t>Last update: 9.04.2021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</si>
</sst>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
    <numFmt numFmtId="165" formatCode="0.0"/>
    <numFmt numFmtId="166" formatCode="0.0000"/>
    <numFmt numFmtId="167" formatCode="0.000"/>
    <numFmt numFmtId="168" formatCode="0.0000000"/>
    <numFmt numFmtId="169" formatCode="0.000000"/>
    <numFmt numFmtId="170" formatCode="0.0000000000"/>
    <numFmt numFmtId="171" formatCode="0.00000"/>
    <numFmt numFmtId="172" formatCode="0.0E+0;[=0]&quot;0&quot;;0.0E+0"/>
    <numFmt numFmtId="173" formatCode="0.000000000000000%"/>
    <numFmt numFmtId="174" formatCode="#,##0.000"/>
    <numFmt numFmtId="175" formatCode="0.000000000000000"/>
    <numFmt numFmtId="176" formatCode="0.000%"/>
    <numFmt numFmtId="177" formatCode="0.00000000000000%"/>
    <numFmt numFmtId="178" formatCode="0.00000000"/>
  </numFmts>
  <fonts count="52" x14ac:knownFonts="1">
    <font>
      <sz val="11"/>
      <color theme="1"/>
      <name val="Calibri"/>
      <family val="2"/>
      <scheme val="minor"/>
    </font>
    <font>
      <sz val="10"/>
      <color theme="1"/>
      <name val="Segoe UI"/>
      <family val="2"/>
    </font>
    <font>
      <sz val="10"/>
      <color theme="1"/>
      <name val="Segoe UI"/>
      <family val="2"/>
    </font>
    <font>
      <sz val="10"/>
      <color theme="1"/>
      <name val="Segoe UI"/>
      <family val="2"/>
    </font>
    <font>
      <sz val="10"/>
      <color theme="1"/>
      <name val="Segoe UI"/>
      <family val="2"/>
    </font>
    <font>
      <sz val="10"/>
      <color theme="1"/>
      <name val="Segoe UI"/>
      <family val="2"/>
    </font>
    <font>
      <sz val="10"/>
      <color theme="1"/>
      <name val="Segoe UI"/>
      <family val="2"/>
    </font>
    <font>
      <sz val="10"/>
      <color theme="1"/>
      <name val="Segoe UI"/>
      <family val="2"/>
    </font>
    <font>
      <sz val="10"/>
      <color theme="1"/>
      <name val="Segoe UI"/>
      <family val="2"/>
    </font>
    <font>
      <b/>
      <sz val="11"/>
      <name val="Calibri"/>
      <family val="2"/>
    </font>
    <font>
      <sz val="11"/>
      <color rgb="FFFF0000"/>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0"/>
      <name val="Arial"/>
      <family val="2"/>
    </font>
    <font>
      <u/>
      <sz val="11"/>
      <color theme="10"/>
      <name val="Calibri"/>
      <family val="2"/>
      <scheme val="minor"/>
    </font>
    <font>
      <sz val="11"/>
      <color rgb="FF0070C0"/>
      <name val="Calibri"/>
      <family val="2"/>
      <scheme val="minor"/>
    </font>
    <font>
      <b/>
      <sz val="11"/>
      <name val="Calibri"/>
      <family val="2"/>
      <scheme val="minor"/>
    </font>
    <font>
      <i/>
      <sz val="10"/>
      <color rgb="FF7F7F7F"/>
      <name val="Segoe UI"/>
      <family val="2"/>
    </font>
    <font>
      <sz val="11"/>
      <name val="Calibri"/>
      <family val="2"/>
    </font>
    <font>
      <sz val="11"/>
      <color theme="1"/>
      <name val="Arial"/>
      <family val="2"/>
    </font>
    <font>
      <vertAlign val="subscript"/>
      <sz val="11"/>
      <color theme="1"/>
      <name val="Calibri"/>
      <family val="2"/>
      <scheme val="minor"/>
    </font>
    <font>
      <sz val="10"/>
      <color indexed="8"/>
      <name val="Segoe UI"/>
      <family val="2"/>
    </font>
    <font>
      <sz val="10"/>
      <name val="Segoe UI"/>
      <family val="2"/>
    </font>
    <font>
      <sz val="11"/>
      <color indexed="8"/>
      <name val="Calibri"/>
      <family val="2"/>
      <scheme val="minor"/>
    </font>
    <font>
      <i/>
      <sz val="10"/>
      <name val="Segoe UI"/>
      <family val="2"/>
    </font>
    <font>
      <b/>
      <sz val="12"/>
      <color theme="1"/>
      <name val="Calibri"/>
      <family val="2"/>
      <scheme val="minor"/>
    </font>
    <font>
      <sz val="10"/>
      <color theme="1"/>
      <name val="Calibri"/>
      <family val="2"/>
      <scheme val="minor"/>
    </font>
    <font>
      <sz val="10"/>
      <name val="Calibri"/>
      <family val="2"/>
    </font>
    <font>
      <b/>
      <sz val="14"/>
      <color theme="1"/>
      <name val="Calibri"/>
      <family val="2"/>
      <scheme val="minor"/>
    </font>
    <font>
      <sz val="9"/>
      <name val="Arial"/>
      <family val="2"/>
    </font>
    <font>
      <sz val="10"/>
      <color rgb="FFFA7D00"/>
      <name val="Segoe UI"/>
      <family val="2"/>
    </font>
    <font>
      <b/>
      <sz val="10"/>
      <color theme="0"/>
      <name val="Segoe UI"/>
      <family val="2"/>
    </font>
    <font>
      <sz val="10"/>
      <name val="Calibri"/>
      <family val="2"/>
      <scheme val="minor"/>
    </font>
    <font>
      <sz val="11"/>
      <color theme="0" tint="-0.499984740745262"/>
      <name val="Calibri"/>
      <family val="2"/>
      <scheme val="minor"/>
    </font>
    <font>
      <sz val="11"/>
      <color theme="0" tint="-0.249977111117893"/>
      <name val="Calibri"/>
      <family val="2"/>
      <scheme val="minor"/>
    </font>
    <font>
      <i/>
      <sz val="11"/>
      <name val="Calibri"/>
      <family val="2"/>
      <scheme val="minor"/>
    </font>
    <font>
      <sz val="10"/>
      <color theme="0" tint="-0.499984740745262"/>
      <name val="Segoe UI"/>
      <family val="2"/>
    </font>
    <font>
      <b/>
      <sz val="11"/>
      <color rgb="FF0070C0"/>
      <name val="Calibri"/>
      <family val="2"/>
      <scheme val="minor"/>
    </font>
    <font>
      <sz val="10"/>
      <color rgb="FF000000"/>
      <name val="Segoe UI"/>
      <family val="2"/>
    </font>
    <font>
      <sz val="8"/>
      <color theme="1"/>
      <name val="Calibri"/>
      <family val="2"/>
      <scheme val="minor"/>
    </font>
    <font>
      <u/>
      <sz val="10"/>
      <color theme="10"/>
      <name val="Segoe UI"/>
      <family val="2"/>
    </font>
    <font>
      <b/>
      <sz val="12"/>
      <color rgb="FFFF0000"/>
      <name val="Calibri"/>
      <family val="2"/>
      <scheme val="minor"/>
    </font>
    <font>
      <b/>
      <vertAlign val="superscript"/>
      <sz val="11"/>
      <color theme="1"/>
      <name val="Calibri"/>
      <family val="2"/>
      <scheme val="minor"/>
    </font>
    <font>
      <sz val="11"/>
      <color theme="0" tint="-0.34998626667073579"/>
      <name val="Calibri"/>
      <family val="2"/>
      <scheme val="minor"/>
    </font>
    <font>
      <b/>
      <sz val="10"/>
      <color rgb="FF0070C0"/>
      <name val="Calibri"/>
      <family val="2"/>
      <scheme val="minor"/>
    </font>
    <font>
      <sz val="10"/>
      <color rgb="FF9C0006"/>
      <name val="Segoe UI"/>
      <family val="2"/>
    </font>
    <font>
      <sz val="10"/>
      <color rgb="FFFF0000"/>
      <name val="Segoe UI"/>
      <family val="2"/>
    </font>
    <font>
      <b/>
      <sz val="10"/>
      <color theme="1"/>
      <name val="Segoe UI"/>
      <family val="2"/>
    </font>
    <font>
      <sz val="10"/>
      <color rgb="FF0070C0"/>
      <name val="Segoe UI"/>
      <family val="2"/>
    </font>
    <font>
      <sz val="11"/>
      <color rgb="FF9C5700"/>
      <name val="Calibri"/>
      <family val="2"/>
      <scheme val="minor"/>
    </font>
  </fonts>
  <fills count="20">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rgb="FFFF5050"/>
        <bgColor indexed="64"/>
      </patternFill>
    </fill>
    <fill>
      <patternFill patternType="solid">
        <fgColor rgb="FFFFFFCC"/>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A5A5A5"/>
      </patternFill>
    </fill>
    <fill>
      <patternFill patternType="solid">
        <fgColor theme="8"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000"/>
        <bgColor indexed="64"/>
      </patternFill>
    </fill>
    <fill>
      <patternFill patternType="solid">
        <fgColor theme="4" tint="0.59999389629810485"/>
        <bgColor indexed="64"/>
      </patternFill>
    </fill>
    <fill>
      <patternFill patternType="solid">
        <fgColor rgb="FFFFC7CE"/>
      </patternFill>
    </fill>
    <fill>
      <patternFill patternType="solid">
        <fgColor rgb="FFFFEB9C"/>
      </patternFill>
    </fill>
  </fills>
  <borders count="44">
    <border>
      <left/>
      <right/>
      <top/>
      <bottom/>
      <diagonal/>
    </border>
    <border>
      <left/>
      <right/>
      <top/>
      <bottom style="thin">
        <color indexed="64"/>
      </bottom>
      <diagonal/>
    </border>
    <border>
      <left/>
      <right/>
      <top style="thin">
        <color indexed="64"/>
      </top>
      <bottom/>
      <diagonal/>
    </border>
    <border>
      <left/>
      <right style="medium">
        <color indexed="64"/>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indexed="64"/>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style="thin">
        <color indexed="64"/>
      </bottom>
      <diagonal/>
    </border>
    <border>
      <left/>
      <right style="thin">
        <color theme="0" tint="-0.14996795556505021"/>
      </right>
      <top style="thin">
        <color indexed="64"/>
      </top>
      <bottom style="thin">
        <color theme="0" tint="-0.14996795556505021"/>
      </bottom>
      <diagonal/>
    </border>
    <border>
      <left/>
      <right style="thin">
        <color theme="0" tint="-0.14996795556505021"/>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right style="thin">
        <color theme="0" tint="-0.14996795556505021"/>
      </right>
      <top/>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14996795556505021"/>
      </left>
      <right/>
      <top/>
      <bottom style="thin">
        <color theme="0" tint="-0.149967955565050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14996795556505021"/>
      </left>
      <right/>
      <top style="thin">
        <color theme="0" tint="-0.14996795556505021"/>
      </top>
      <bottom style="thin">
        <color theme="0" tint="-0.14996795556505021"/>
      </bottom>
      <diagonal/>
    </border>
    <border>
      <left/>
      <right/>
      <top style="thin">
        <color indexed="64"/>
      </top>
      <bottom style="thin">
        <color indexed="64"/>
      </bottom>
      <diagonal/>
    </border>
    <border>
      <left style="thin">
        <color theme="0" tint="-0.14996795556505021"/>
      </left>
      <right style="thin">
        <color theme="0" tint="-0.14996795556505021"/>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6795556505021"/>
      </left>
      <right/>
      <top style="thin">
        <color theme="0" tint="-0.14996795556505021"/>
      </top>
      <bottom/>
      <diagonal/>
    </border>
    <border>
      <left style="thin">
        <color theme="0" tint="-0.14996795556505021"/>
      </left>
      <right/>
      <top/>
      <bottom/>
      <diagonal/>
    </border>
    <border>
      <left style="thin">
        <color theme="0" tint="-0.34998626667073579"/>
      </left>
      <right/>
      <top/>
      <bottom/>
      <diagonal/>
    </border>
  </borders>
  <cellStyleXfs count="22">
    <xf numFmtId="0" fontId="0" fillId="0" borderId="0"/>
    <xf numFmtId="9" fontId="14" fillId="0" borderId="0" applyFont="0" applyFill="0" applyBorder="0" applyAlignment="0" applyProtection="0"/>
    <xf numFmtId="0" fontId="15" fillId="0" borderId="0"/>
    <xf numFmtId="0" fontId="16" fillId="0" borderId="0" applyNumberFormat="0" applyFill="0" applyBorder="0" applyAlignment="0" applyProtection="0"/>
    <xf numFmtId="0" fontId="19" fillId="0" borderId="0" applyNumberFormat="0" applyFill="0" applyBorder="0" applyAlignment="0" applyProtection="0"/>
    <xf numFmtId="0" fontId="21" fillId="0" borderId="0"/>
    <xf numFmtId="0" fontId="8" fillId="0" borderId="0"/>
    <xf numFmtId="9" fontId="8" fillId="0" borderId="0" applyFont="0" applyFill="0" applyBorder="0" applyAlignment="0" applyProtection="0"/>
    <xf numFmtId="0" fontId="7" fillId="0" borderId="0"/>
    <xf numFmtId="0" fontId="31" fillId="0" borderId="0">
      <alignment horizontal="left" vertical="center" wrapText="1"/>
    </xf>
    <xf numFmtId="11" fontId="31" fillId="0" borderId="0">
      <alignment horizontal="center" vertical="center" wrapText="1"/>
    </xf>
    <xf numFmtId="172" fontId="31" fillId="0" borderId="0">
      <alignment horizontal="center" vertical="center"/>
    </xf>
    <xf numFmtId="0" fontId="32" fillId="0" borderId="22" applyNumberFormat="0" applyFill="0" applyAlignment="0" applyProtection="0"/>
    <xf numFmtId="0" fontId="33" fillId="12" borderId="23" applyNumberFormat="0" applyAlignment="0" applyProtection="0"/>
    <xf numFmtId="0" fontId="4" fillId="0" borderId="0"/>
    <xf numFmtId="9" fontId="4" fillId="0" borderId="0" applyFont="0" applyFill="0" applyBorder="0" applyAlignment="0" applyProtection="0"/>
    <xf numFmtId="0" fontId="42" fillId="0" borderId="0" applyNumberFormat="0" applyFill="0" applyBorder="0" applyAlignment="0" applyProtection="0"/>
    <xf numFmtId="0" fontId="47" fillId="18" borderId="0" applyNumberFormat="0" applyBorder="0" applyAlignment="0" applyProtection="0"/>
    <xf numFmtId="0" fontId="2" fillId="0" borderId="0"/>
    <xf numFmtId="9" fontId="2" fillId="0" borderId="0" applyFont="0" applyFill="0" applyBorder="0" applyAlignment="0" applyProtection="0"/>
    <xf numFmtId="0" fontId="47" fillId="18" borderId="0" applyNumberFormat="0" applyBorder="0" applyAlignment="0" applyProtection="0"/>
    <xf numFmtId="0" fontId="51" fillId="19" borderId="0" applyNumberFormat="0" applyBorder="0" applyAlignment="0" applyProtection="0"/>
  </cellStyleXfs>
  <cellXfs count="583">
    <xf numFmtId="0" fontId="0" fillId="0" borderId="0" xfId="0"/>
    <xf numFmtId="0" fontId="9" fillId="0" borderId="0" xfId="0" applyFont="1" applyAlignment="1">
      <alignment horizontal="center" vertical="top"/>
    </xf>
    <xf numFmtId="0" fontId="0" fillId="2" borderId="0" xfId="0" applyFill="1"/>
    <xf numFmtId="0" fontId="0" fillId="0" borderId="0" xfId="0" quotePrefix="1"/>
    <xf numFmtId="0" fontId="0" fillId="0" borderId="1" xfId="0" applyBorder="1"/>
    <xf numFmtId="0" fontId="0" fillId="0" borderId="0" xfId="0" applyAlignment="1">
      <alignment vertical="center" wrapText="1"/>
    </xf>
    <xf numFmtId="0" fontId="0" fillId="0" borderId="2" xfId="0" applyBorder="1"/>
    <xf numFmtId="0" fontId="10" fillId="0" borderId="0" xfId="0" applyFont="1"/>
    <xf numFmtId="0" fontId="12" fillId="0" borderId="0" xfId="0" applyFont="1"/>
    <xf numFmtId="11" fontId="0" fillId="0" borderId="0" xfId="0" applyNumberFormat="1"/>
    <xf numFmtId="1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wrapText="1"/>
    </xf>
    <xf numFmtId="0" fontId="13" fillId="0" borderId="4" xfId="0" applyFont="1" applyBorder="1" applyAlignment="1">
      <alignment vertical="center"/>
    </xf>
    <xf numFmtId="0" fontId="0" fillId="0" borderId="4" xfId="0" applyBorder="1" applyAlignment="1">
      <alignment vertical="center"/>
    </xf>
    <xf numFmtId="0" fontId="0" fillId="0" borderId="4" xfId="0" applyBorder="1" applyAlignment="1">
      <alignment vertical="center" wrapText="1"/>
    </xf>
    <xf numFmtId="0" fontId="0" fillId="0" borderId="4" xfId="0" applyBorder="1" applyAlignment="1">
      <alignment horizontal="left" vertical="center" wrapText="1"/>
    </xf>
    <xf numFmtId="0" fontId="0" fillId="0" borderId="4" xfId="0" applyBorder="1" applyAlignment="1">
      <alignment horizontal="left" vertical="center"/>
    </xf>
    <xf numFmtId="2" fontId="0" fillId="0" borderId="4" xfId="0" applyNumberFormat="1" applyBorder="1" applyAlignment="1">
      <alignment horizontal="center" vertical="center"/>
    </xf>
    <xf numFmtId="0" fontId="10" fillId="0" borderId="4" xfId="0" applyFont="1" applyBorder="1" applyAlignment="1">
      <alignment vertical="center" wrapText="1"/>
    </xf>
    <xf numFmtId="0" fontId="0" fillId="0" borderId="4" xfId="0" quotePrefix="1" applyBorder="1" applyAlignment="1">
      <alignment horizontal="center" vertical="center"/>
    </xf>
    <xf numFmtId="0" fontId="0" fillId="0" borderId="4" xfId="0" quotePrefix="1" applyBorder="1" applyAlignment="1">
      <alignment vertical="center"/>
    </xf>
    <xf numFmtId="0" fontId="11" fillId="0" borderId="4" xfId="0" applyFont="1" applyBorder="1" applyAlignment="1">
      <alignment horizontal="left" vertical="center" wrapText="1"/>
    </xf>
    <xf numFmtId="9" fontId="0" fillId="0" borderId="4" xfId="1" applyFont="1" applyFill="1" applyBorder="1" applyAlignment="1">
      <alignment vertical="center"/>
    </xf>
    <xf numFmtId="0" fontId="11" fillId="0" borderId="4" xfId="0" applyFont="1" applyBorder="1" applyAlignment="1">
      <alignment vertical="center" wrapText="1"/>
    </xf>
    <xf numFmtId="2" fontId="0" fillId="0" borderId="4" xfId="1" applyNumberFormat="1" applyFont="1" applyFill="1" applyBorder="1" applyAlignment="1">
      <alignment vertical="center"/>
    </xf>
    <xf numFmtId="0" fontId="11" fillId="0" borderId="4" xfId="0" quotePrefix="1" applyFont="1" applyBorder="1" applyAlignment="1">
      <alignment horizontal="center" vertical="center"/>
    </xf>
    <xf numFmtId="0" fontId="11" fillId="0" borderId="4" xfId="0" applyFont="1" applyBorder="1" applyAlignment="1">
      <alignment vertical="center"/>
    </xf>
    <xf numFmtId="2" fontId="0" fillId="0" borderId="4" xfId="1" applyNumberFormat="1" applyFont="1" applyFill="1" applyBorder="1" applyAlignment="1">
      <alignment horizontal="center" vertical="center"/>
    </xf>
    <xf numFmtId="9" fontId="0" fillId="0" borderId="4" xfId="1" applyFont="1" applyFill="1" applyBorder="1" applyAlignment="1">
      <alignment horizontal="center" vertical="center"/>
    </xf>
    <xf numFmtId="2" fontId="0" fillId="0" borderId="4" xfId="0" applyNumberFormat="1" applyBorder="1" applyAlignment="1">
      <alignment vertical="center" wrapText="1"/>
    </xf>
    <xf numFmtId="11" fontId="0" fillId="0" borderId="4" xfId="0" applyNumberFormat="1" applyBorder="1" applyAlignment="1">
      <alignment horizontal="center" vertical="center"/>
    </xf>
    <xf numFmtId="2" fontId="0" fillId="0" borderId="4" xfId="0" applyNumberFormat="1" applyBorder="1" applyAlignment="1">
      <alignment wrapText="1"/>
    </xf>
    <xf numFmtId="0" fontId="0" fillId="0" borderId="4" xfId="0" applyBorder="1" applyAlignment="1">
      <alignment horizontal="center" vertical="center"/>
    </xf>
    <xf numFmtId="0" fontId="19" fillId="0" borderId="4" xfId="4" applyBorder="1" applyAlignment="1">
      <alignment vertical="center"/>
    </xf>
    <xf numFmtId="0" fontId="25" fillId="0" borderId="4" xfId="8" applyFont="1" applyBorder="1" applyAlignment="1">
      <alignment horizontal="left" vertical="center"/>
    </xf>
    <xf numFmtId="0" fontId="0" fillId="0" borderId="4" xfId="8" applyFont="1" applyBorder="1" applyAlignment="1">
      <alignment vertical="center"/>
    </xf>
    <xf numFmtId="0" fontId="23" fillId="0" borderId="4" xfId="8" applyFont="1" applyBorder="1" applyAlignment="1">
      <alignment horizontal="left" vertical="center"/>
    </xf>
    <xf numFmtId="0" fontId="7" fillId="0" borderId="4" xfId="8" applyBorder="1" applyAlignment="1">
      <alignment vertical="center"/>
    </xf>
    <xf numFmtId="0" fontId="9" fillId="0" borderId="6" xfId="0" applyFont="1" applyBorder="1" applyAlignment="1">
      <alignment horizontal="left" vertical="center" wrapText="1"/>
    </xf>
    <xf numFmtId="0" fontId="9" fillId="0" borderId="6" xfId="0" applyFont="1" applyBorder="1" applyAlignment="1">
      <alignment horizontal="left" vertical="center"/>
    </xf>
    <xf numFmtId="0" fontId="0" fillId="0" borderId="6" xfId="0" applyBorder="1" applyAlignment="1">
      <alignment vertical="center"/>
    </xf>
    <xf numFmtId="0" fontId="0" fillId="3" borderId="5" xfId="0" applyFill="1" applyBorder="1" applyAlignment="1">
      <alignment horizontal="center" vertical="center" wrapText="1"/>
    </xf>
    <xf numFmtId="0" fontId="12" fillId="3" borderId="5"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0" borderId="5" xfId="0" applyFont="1" applyBorder="1" applyAlignment="1">
      <alignment horizontal="center" vertical="center" wrapText="1"/>
    </xf>
    <xf numFmtId="0" fontId="12" fillId="5" borderId="5"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0" fillId="0" borderId="5" xfId="0" applyBorder="1"/>
    <xf numFmtId="0" fontId="0" fillId="0" borderId="6" xfId="0" applyBorder="1" applyAlignment="1">
      <alignment vertical="center" wrapText="1"/>
    </xf>
    <xf numFmtId="0" fontId="0" fillId="0" borderId="6" xfId="0" applyBorder="1" applyAlignment="1">
      <alignment horizontal="center" vertical="center"/>
    </xf>
    <xf numFmtId="0" fontId="0" fillId="0" borderId="5"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vertical="center" wrapText="1"/>
    </xf>
    <xf numFmtId="0" fontId="0" fillId="0" borderId="5" xfId="0" applyBorder="1" applyAlignment="1">
      <alignment vertical="center"/>
    </xf>
    <xf numFmtId="0" fontId="0" fillId="0" borderId="6" xfId="0" applyBorder="1" applyAlignment="1">
      <alignment horizontal="left" vertical="center"/>
    </xf>
    <xf numFmtId="0" fontId="11" fillId="0" borderId="5" xfId="0" applyFont="1" applyBorder="1" applyAlignment="1">
      <alignment horizontal="left" vertical="center"/>
    </xf>
    <xf numFmtId="0" fontId="11" fillId="0" borderId="5" xfId="0" applyFont="1" applyBorder="1" applyAlignment="1">
      <alignment horizontal="left" vertical="center" wrapText="1"/>
    </xf>
    <xf numFmtId="2" fontId="0" fillId="0" borderId="5" xfId="0" applyNumberFormat="1" applyBorder="1" applyAlignment="1">
      <alignment horizontal="center" vertical="center"/>
    </xf>
    <xf numFmtId="0" fontId="11" fillId="0" borderId="6" xfId="0" applyFont="1" applyBorder="1" applyAlignment="1">
      <alignment vertical="center"/>
    </xf>
    <xf numFmtId="0" fontId="11" fillId="0" borderId="6" xfId="0" applyFont="1" applyBorder="1" applyAlignment="1">
      <alignment vertical="center" wrapText="1"/>
    </xf>
    <xf numFmtId="0" fontId="0" fillId="0" borderId="5" xfId="0" quotePrefix="1" applyBorder="1" applyAlignment="1">
      <alignment horizontal="center" vertical="center"/>
    </xf>
    <xf numFmtId="0" fontId="11" fillId="0" borderId="5" xfId="0" applyFont="1" applyBorder="1" applyAlignment="1">
      <alignment vertical="center" wrapText="1"/>
    </xf>
    <xf numFmtId="0" fontId="11" fillId="0" borderId="6" xfId="8" applyFont="1" applyBorder="1" applyAlignment="1">
      <alignment vertical="center" wrapText="1"/>
    </xf>
    <xf numFmtId="0" fontId="0" fillId="0" borderId="6" xfId="8" applyFont="1" applyBorder="1" applyAlignment="1">
      <alignment vertical="center"/>
    </xf>
    <xf numFmtId="0" fontId="23" fillId="0" borderId="6" xfId="8" applyFont="1" applyBorder="1" applyAlignment="1">
      <alignment horizontal="left" vertical="center"/>
    </xf>
    <xf numFmtId="0" fontId="0" fillId="0" borderId="7" xfId="0" applyBorder="1" applyAlignment="1">
      <alignment vertical="center"/>
    </xf>
    <xf numFmtId="0" fontId="0" fillId="0" borderId="7" xfId="0" applyBorder="1" applyAlignment="1">
      <alignment vertical="center" wrapText="1"/>
    </xf>
    <xf numFmtId="0" fontId="16" fillId="0" borderId="6" xfId="3" applyFill="1" applyBorder="1" applyAlignment="1">
      <alignment vertical="center"/>
    </xf>
    <xf numFmtId="2" fontId="11" fillId="0" borderId="6" xfId="0" applyNumberFormat="1" applyFont="1" applyBorder="1" applyAlignment="1">
      <alignment vertical="center" wrapText="1"/>
    </xf>
    <xf numFmtId="0" fontId="0" fillId="0" borderId="8" xfId="0" applyBorder="1" applyAlignment="1">
      <alignment vertical="center"/>
    </xf>
    <xf numFmtId="0" fontId="0" fillId="0" borderId="8" xfId="0" applyBorder="1" applyAlignment="1">
      <alignment vertical="center" wrapText="1"/>
    </xf>
    <xf numFmtId="0" fontId="0" fillId="0" borderId="9" xfId="0" applyBorder="1" applyAlignment="1">
      <alignment vertical="center"/>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xf>
    <xf numFmtId="0" fontId="0" fillId="0" borderId="13" xfId="0" applyBorder="1" applyAlignment="1">
      <alignment vertical="center"/>
    </xf>
    <xf numFmtId="0" fontId="11" fillId="0" borderId="5" xfId="0" applyFont="1" applyBorder="1" applyAlignment="1">
      <alignment horizontal="center" vertical="center"/>
    </xf>
    <xf numFmtId="167" fontId="0" fillId="6" borderId="0" xfId="0" applyNumberFormat="1" applyFill="1"/>
    <xf numFmtId="167" fontId="0" fillId="0" borderId="0" xfId="0" applyNumberFormat="1"/>
    <xf numFmtId="2" fontId="0" fillId="0" borderId="0" xfId="0" applyNumberFormat="1"/>
    <xf numFmtId="2" fontId="11" fillId="0" borderId="4" xfId="0" applyNumberFormat="1" applyFont="1" applyBorder="1" applyAlignment="1">
      <alignment vertical="center" wrapText="1"/>
    </xf>
    <xf numFmtId="2" fontId="10" fillId="0" borderId="0" xfId="0" applyNumberFormat="1" applyFont="1"/>
    <xf numFmtId="0" fontId="0" fillId="6" borderId="0" xfId="0" applyFill="1"/>
    <xf numFmtId="0" fontId="0" fillId="4" borderId="0" xfId="0" applyFill="1"/>
    <xf numFmtId="167" fontId="0" fillId="4" borderId="0" xfId="0" applyNumberFormat="1" applyFill="1"/>
    <xf numFmtId="9" fontId="10" fillId="0" borderId="0" xfId="1" applyFont="1"/>
    <xf numFmtId="0" fontId="0" fillId="0" borderId="5" xfId="0" applyBorder="1" applyAlignment="1">
      <alignment horizontal="center" vertical="center"/>
    </xf>
    <xf numFmtId="0" fontId="0" fillId="0" borderId="9" xfId="0" applyBorder="1" applyAlignment="1">
      <alignment vertical="center" wrapText="1"/>
    </xf>
    <xf numFmtId="164" fontId="0" fillId="0" borderId="4" xfId="1" applyNumberFormat="1" applyFont="1" applyFill="1" applyBorder="1" applyAlignment="1">
      <alignment horizontal="center" vertical="center"/>
    </xf>
    <xf numFmtId="0" fontId="11" fillId="0" borderId="4" xfId="0" applyFont="1" applyBorder="1" applyAlignment="1">
      <alignment horizontal="center" vertical="center"/>
    </xf>
    <xf numFmtId="0" fontId="25" fillId="0" borderId="4" xfId="8" applyFont="1" applyBorder="1" applyAlignment="1">
      <alignment horizontal="left" vertical="center" wrapText="1"/>
    </xf>
    <xf numFmtId="0" fontId="23" fillId="0" borderId="6" xfId="8" applyFont="1" applyBorder="1" applyAlignment="1">
      <alignment horizontal="left" vertical="center" wrapText="1"/>
    </xf>
    <xf numFmtId="0" fontId="23" fillId="0" borderId="4" xfId="8" applyFont="1" applyBorder="1" applyAlignment="1">
      <alignment horizontal="left" vertical="center" wrapText="1"/>
    </xf>
    <xf numFmtId="0" fontId="14" fillId="0" borderId="6" xfId="8" applyFont="1" applyBorder="1" applyAlignment="1">
      <alignment vertical="center" wrapText="1"/>
    </xf>
    <xf numFmtId="0" fontId="14" fillId="0" borderId="4" xfId="8" applyFont="1" applyBorder="1" applyAlignment="1">
      <alignment vertical="center" wrapText="1"/>
    </xf>
    <xf numFmtId="0" fontId="11" fillId="0" borderId="6" xfId="8" applyFont="1" applyBorder="1" applyAlignment="1">
      <alignment horizontal="center" vertical="center" wrapText="1"/>
    </xf>
    <xf numFmtId="2" fontId="25" fillId="0" borderId="4" xfId="8" applyNumberFormat="1" applyFont="1" applyBorder="1" applyAlignment="1">
      <alignment horizontal="center" vertical="center"/>
    </xf>
    <xf numFmtId="2" fontId="25" fillId="0" borderId="4" xfId="8" applyNumberFormat="1" applyFont="1" applyBorder="1" applyAlignment="1">
      <alignment horizontal="center" vertical="center" shrinkToFit="1"/>
    </xf>
    <xf numFmtId="2" fontId="0" fillId="0" borderId="6" xfId="8" applyNumberFormat="1" applyFont="1" applyBorder="1" applyAlignment="1">
      <alignment horizontal="center" vertical="center"/>
    </xf>
    <xf numFmtId="2" fontId="0" fillId="0" borderId="4" xfId="8" applyNumberFormat="1" applyFont="1" applyBorder="1" applyAlignment="1">
      <alignment horizontal="center" vertical="center"/>
    </xf>
    <xf numFmtId="11" fontId="14" fillId="0" borderId="6" xfId="8" applyNumberFormat="1" applyFont="1" applyBorder="1" applyAlignment="1">
      <alignment horizontal="center" vertical="center"/>
    </xf>
    <xf numFmtId="0" fontId="14" fillId="0" borderId="4" xfId="8" applyFont="1" applyBorder="1" applyAlignment="1">
      <alignment horizontal="center" vertical="center"/>
    </xf>
    <xf numFmtId="0" fontId="0" fillId="0" borderId="0" xfId="0" applyAlignment="1">
      <alignment horizontal="left" vertical="center" wrapText="1"/>
    </xf>
    <xf numFmtId="0" fontId="11" fillId="0" borderId="14" xfId="0" applyFont="1" applyBorder="1" applyAlignment="1">
      <alignment vertical="center"/>
    </xf>
    <xf numFmtId="0" fontId="0" fillId="0" borderId="9" xfId="0" applyBorder="1" applyAlignment="1">
      <alignment horizontal="left" vertical="center"/>
    </xf>
    <xf numFmtId="0" fontId="0" fillId="0" borderId="9" xfId="0" applyBorder="1" applyAlignment="1">
      <alignment horizontal="left" vertical="center" wrapText="1"/>
    </xf>
    <xf numFmtId="0" fontId="0" fillId="0" borderId="12" xfId="0" applyBorder="1" applyAlignment="1">
      <alignment horizontal="left" vertical="center"/>
    </xf>
    <xf numFmtId="0" fontId="28" fillId="0" borderId="0" xfId="0" applyFont="1"/>
    <xf numFmtId="0" fontId="28" fillId="0" borderId="17" xfId="0" applyFont="1" applyBorder="1"/>
    <xf numFmtId="0" fontId="28" fillId="0" borderId="16" xfId="0" applyFont="1" applyBorder="1"/>
    <xf numFmtId="0" fontId="29" fillId="3" borderId="16" xfId="0" applyFont="1" applyFill="1" applyBorder="1" applyAlignment="1">
      <alignment horizontal="left" vertical="center" wrapText="1"/>
    </xf>
    <xf numFmtId="0" fontId="28" fillId="5" borderId="16" xfId="0" applyFont="1" applyFill="1" applyBorder="1" applyAlignment="1">
      <alignment horizontal="left" vertical="center" wrapText="1"/>
    </xf>
    <xf numFmtId="0" fontId="29" fillId="5" borderId="16" xfId="0" applyFont="1" applyFill="1" applyBorder="1" applyAlignment="1">
      <alignment horizontal="left" vertical="center" wrapText="1"/>
    </xf>
    <xf numFmtId="0" fontId="28" fillId="0" borderId="0" xfId="0" applyFont="1" applyAlignment="1">
      <alignment vertical="center"/>
    </xf>
    <xf numFmtId="0" fontId="28" fillId="0" borderId="17" xfId="0" applyFont="1" applyBorder="1" applyAlignment="1">
      <alignment vertical="center"/>
    </xf>
    <xf numFmtId="0" fontId="27" fillId="0" borderId="0" xfId="0" applyFont="1"/>
    <xf numFmtId="0" fontId="11" fillId="0" borderId="5" xfId="0" applyFont="1" applyBorder="1" applyAlignment="1">
      <alignment vertical="center"/>
    </xf>
    <xf numFmtId="0" fontId="25" fillId="0" borderId="4" xfId="8" applyFont="1" applyBorder="1" applyAlignment="1">
      <alignment vertical="center"/>
    </xf>
    <xf numFmtId="0" fontId="25" fillId="0" borderId="4" xfId="8" applyFont="1" applyBorder="1" applyAlignment="1">
      <alignment vertical="center" wrapText="1"/>
    </xf>
    <xf numFmtId="0" fontId="0" fillId="0" borderId="14" xfId="0" applyBorder="1" applyAlignment="1">
      <alignment vertical="center" wrapText="1"/>
    </xf>
    <xf numFmtId="0" fontId="14" fillId="0" borderId="11" xfId="8" applyFont="1" applyBorder="1" applyAlignment="1">
      <alignment vertical="center"/>
    </xf>
    <xf numFmtId="0" fontId="0" fillId="0" borderId="12" xfId="8" applyFont="1" applyBorder="1" applyAlignment="1">
      <alignment vertical="center"/>
    </xf>
    <xf numFmtId="0" fontId="14" fillId="0" borderId="12" xfId="8" applyFont="1" applyBorder="1" applyAlignment="1">
      <alignment vertical="center"/>
    </xf>
    <xf numFmtId="0" fontId="28" fillId="4" borderId="16" xfId="0" applyFont="1" applyFill="1" applyBorder="1"/>
    <xf numFmtId="0" fontId="0" fillId="0" borderId="9" xfId="8" applyFont="1" applyBorder="1" applyAlignment="1">
      <alignment vertical="center"/>
    </xf>
    <xf numFmtId="2" fontId="0" fillId="0" borderId="9" xfId="8" applyNumberFormat="1" applyFont="1" applyBorder="1" applyAlignment="1">
      <alignment horizontal="center" vertical="center"/>
    </xf>
    <xf numFmtId="0" fontId="23" fillId="0" borderId="9" xfId="8" applyFont="1" applyBorder="1" applyAlignment="1">
      <alignment horizontal="left" vertical="center" wrapText="1"/>
    </xf>
    <xf numFmtId="0" fontId="23" fillId="0" borderId="9" xfId="8" applyFont="1" applyBorder="1" applyAlignment="1">
      <alignment horizontal="left" vertical="center"/>
    </xf>
    <xf numFmtId="0" fontId="11" fillId="0" borderId="1" xfId="0" applyFont="1" applyBorder="1" applyAlignment="1">
      <alignment vertical="center"/>
    </xf>
    <xf numFmtId="0" fontId="11" fillId="0" borderId="0" xfId="0" applyFont="1" applyAlignment="1">
      <alignment vertical="center"/>
    </xf>
    <xf numFmtId="0" fontId="30" fillId="8" borderId="0" xfId="0" applyFont="1" applyFill="1" applyAlignment="1">
      <alignment horizontal="left" vertical="center" wrapText="1"/>
    </xf>
    <xf numFmtId="0" fontId="0" fillId="7" borderId="4" xfId="0" applyFill="1" applyBorder="1" applyAlignment="1">
      <alignment horizontal="left" vertical="center" wrapText="1"/>
    </xf>
    <xf numFmtId="11" fontId="0" fillId="0" borderId="5" xfId="0" applyNumberFormat="1" applyBorder="1" applyAlignment="1">
      <alignment horizontal="center" vertical="center"/>
    </xf>
    <xf numFmtId="171" fontId="0" fillId="0" borderId="4" xfId="0" applyNumberFormat="1" applyBorder="1" applyAlignment="1">
      <alignment horizontal="center" vertical="center"/>
    </xf>
    <xf numFmtId="2" fontId="0" fillId="0" borderId="8" xfId="0" applyNumberFormat="1" applyBorder="1" applyAlignment="1">
      <alignment horizontal="center" vertical="center"/>
    </xf>
    <xf numFmtId="2" fontId="0" fillId="0" borderId="6" xfId="0" applyNumberFormat="1" applyBorder="1" applyAlignment="1">
      <alignment horizontal="center" vertical="center"/>
    </xf>
    <xf numFmtId="9" fontId="0" fillId="0" borderId="0" xfId="1" applyFont="1"/>
    <xf numFmtId="0" fontId="11" fillId="0" borderId="8" xfId="0" applyFont="1" applyBorder="1" applyAlignment="1">
      <alignment vertical="center" wrapText="1"/>
    </xf>
    <xf numFmtId="0" fontId="11" fillId="0" borderId="14" xfId="0" applyFont="1" applyBorder="1" applyAlignment="1">
      <alignment vertical="center" wrapText="1"/>
    </xf>
    <xf numFmtId="2" fontId="0" fillId="0" borderId="14" xfId="0" applyNumberFormat="1" applyBorder="1" applyAlignment="1">
      <alignment horizontal="center" vertical="center"/>
    </xf>
    <xf numFmtId="0" fontId="28" fillId="0" borderId="17" xfId="0" applyFont="1" applyBorder="1" applyAlignment="1">
      <alignment wrapText="1"/>
    </xf>
    <xf numFmtId="11" fontId="0" fillId="0" borderId="0" xfId="0" applyNumberFormat="1" applyAlignment="1">
      <alignment horizontal="center" vertical="top"/>
    </xf>
    <xf numFmtId="170" fontId="11" fillId="0" borderId="4" xfId="0" applyNumberFormat="1" applyFont="1" applyBorder="1" applyAlignment="1">
      <alignment horizontal="left" vertical="center" wrapText="1"/>
    </xf>
    <xf numFmtId="0" fontId="10" fillId="0" borderId="8" xfId="0" applyFont="1" applyBorder="1" applyAlignment="1">
      <alignment vertical="center" wrapText="1"/>
    </xf>
    <xf numFmtId="0" fontId="0" fillId="0" borderId="4" xfId="0" applyBorder="1"/>
    <xf numFmtId="0" fontId="0" fillId="0" borderId="8"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167" fontId="0" fillId="0" borderId="4" xfId="0" applyNumberFormat="1" applyBorder="1" applyAlignment="1">
      <alignment horizontal="center" vertical="center"/>
    </xf>
    <xf numFmtId="0" fontId="0" fillId="0" borderId="24" xfId="0" applyBorder="1"/>
    <xf numFmtId="0" fontId="0" fillId="0" borderId="25" xfId="0" applyBorder="1"/>
    <xf numFmtId="0" fontId="0" fillId="0" borderId="26" xfId="0" applyBorder="1"/>
    <xf numFmtId="0" fontId="0" fillId="0" borderId="27" xfId="0" applyBorder="1"/>
    <xf numFmtId="0" fontId="0" fillId="0" borderId="3" xfId="0" applyBorder="1"/>
    <xf numFmtId="9" fontId="0" fillId="0" borderId="29" xfId="1" applyFont="1" applyBorder="1"/>
    <xf numFmtId="0" fontId="0" fillId="0" borderId="30" xfId="0" applyBorder="1"/>
    <xf numFmtId="0" fontId="0" fillId="0" borderId="28" xfId="0" applyBorder="1"/>
    <xf numFmtId="0" fontId="0" fillId="0" borderId="0" xfId="0" applyAlignment="1">
      <alignment horizontal="right"/>
    </xf>
    <xf numFmtId="0" fontId="12" fillId="0" borderId="0" xfId="0" applyFont="1" applyAlignment="1">
      <alignment horizontal="right"/>
    </xf>
    <xf numFmtId="0" fontId="0" fillId="0" borderId="6" xfId="0" applyBorder="1" applyAlignment="1">
      <alignment horizontal="center" vertical="center" wrapText="1"/>
    </xf>
    <xf numFmtId="0" fontId="28" fillId="10" borderId="16" xfId="0" applyFont="1" applyFill="1" applyBorder="1"/>
    <xf numFmtId="0" fontId="28" fillId="13" borderId="16" xfId="0" applyFont="1" applyFill="1" applyBorder="1"/>
    <xf numFmtId="0" fontId="0" fillId="11" borderId="0" xfId="0" applyFill="1"/>
    <xf numFmtId="0" fontId="0" fillId="10" borderId="0" xfId="0" applyFill="1"/>
    <xf numFmtId="0" fontId="0" fillId="0" borderId="15" xfId="0" applyBorder="1" applyAlignment="1">
      <alignment horizontal="left" vertical="center"/>
    </xf>
    <xf numFmtId="0" fontId="0" fillId="0" borderId="14" xfId="0" applyBorder="1" applyAlignment="1">
      <alignment vertical="center"/>
    </xf>
    <xf numFmtId="165" fontId="0" fillId="0" borderId="0" xfId="0" applyNumberFormat="1"/>
    <xf numFmtId="166" fontId="0" fillId="0" borderId="4" xfId="0" quotePrefix="1" applyNumberFormat="1" applyBorder="1" applyAlignment="1">
      <alignment horizontal="center" vertical="center"/>
    </xf>
    <xf numFmtId="0" fontId="34" fillId="0" borderId="17" xfId="0" applyFont="1" applyBorder="1"/>
    <xf numFmtId="2" fontId="11" fillId="0" borderId="4" xfId="0" applyNumberFormat="1" applyFont="1" applyBorder="1" applyAlignment="1">
      <alignment horizontal="center" vertical="center"/>
    </xf>
    <xf numFmtId="171" fontId="11" fillId="0" borderId="4" xfId="0" applyNumberFormat="1" applyFont="1" applyBorder="1" applyAlignment="1">
      <alignment horizontal="center" vertical="center"/>
    </xf>
    <xf numFmtId="171" fontId="0" fillId="0" borderId="5" xfId="0" applyNumberFormat="1" applyBorder="1" applyAlignment="1">
      <alignment horizontal="center" vertical="center"/>
    </xf>
    <xf numFmtId="167" fontId="35" fillId="11" borderId="0" xfId="0" applyNumberFormat="1" applyFont="1" applyFill="1"/>
    <xf numFmtId="167" fontId="35" fillId="10" borderId="0" xfId="0" applyNumberFormat="1" applyFont="1" applyFill="1"/>
    <xf numFmtId="0" fontId="36" fillId="0" borderId="0" xfId="0" applyFont="1"/>
    <xf numFmtId="167" fontId="36" fillId="0" borderId="0" xfId="0" applyNumberFormat="1" applyFont="1"/>
    <xf numFmtId="0" fontId="11" fillId="11" borderId="0" xfId="0" applyFont="1" applyFill="1"/>
    <xf numFmtId="0" fontId="11" fillId="10" borderId="0" xfId="0" applyFont="1" applyFill="1"/>
    <xf numFmtId="2" fontId="11" fillId="0" borderId="0" xfId="0" applyNumberFormat="1" applyFont="1"/>
    <xf numFmtId="167" fontId="0" fillId="11" borderId="0" xfId="0" applyNumberFormat="1" applyFill="1"/>
    <xf numFmtId="167" fontId="0" fillId="10" borderId="0" xfId="0" applyNumberFormat="1" applyFill="1"/>
    <xf numFmtId="0" fontId="12" fillId="0" borderId="0" xfId="0" applyFont="1" applyAlignment="1">
      <alignment horizontal="center" vertical="center"/>
    </xf>
    <xf numFmtId="0" fontId="34" fillId="0" borderId="17" xfId="0" applyFont="1" applyBorder="1" applyAlignment="1">
      <alignment vertical="center"/>
    </xf>
    <xf numFmtId="164" fontId="0" fillId="0" borderId="8" xfId="1" applyNumberFormat="1" applyFont="1" applyFill="1" applyBorder="1" applyAlignment="1">
      <alignment horizontal="center" vertical="center"/>
    </xf>
    <xf numFmtId="0" fontId="0" fillId="0" borderId="0" xfId="0" applyAlignment="1">
      <alignment horizontal="left" vertical="center"/>
    </xf>
    <xf numFmtId="0" fontId="0" fillId="3" borderId="8" xfId="0" applyFill="1" applyBorder="1" applyAlignment="1">
      <alignment horizontal="center" vertical="center" wrapText="1"/>
    </xf>
    <xf numFmtId="0" fontId="11" fillId="0" borderId="8" xfId="0" quotePrefix="1" applyFont="1" applyBorder="1" applyAlignment="1">
      <alignment horizontal="center" vertical="center"/>
    </xf>
    <xf numFmtId="0" fontId="11" fillId="0" borderId="8" xfId="0" applyFont="1" applyBorder="1" applyAlignment="1">
      <alignment horizontal="center" vertical="center"/>
    </xf>
    <xf numFmtId="11" fontId="11" fillId="0" borderId="4" xfId="0" applyNumberFormat="1" applyFont="1" applyBorder="1" applyAlignment="1">
      <alignment horizontal="center" vertical="center"/>
    </xf>
    <xf numFmtId="9" fontId="0" fillId="0" borderId="6" xfId="1" applyFont="1" applyBorder="1" applyAlignment="1">
      <alignment horizontal="center" vertical="center"/>
    </xf>
    <xf numFmtId="2" fontId="11" fillId="0" borderId="8" xfId="0" applyNumberFormat="1" applyFont="1" applyBorder="1" applyAlignment="1">
      <alignment vertical="center" wrapText="1"/>
    </xf>
    <xf numFmtId="2" fontId="0" fillId="0" borderId="0" xfId="0" applyNumberFormat="1" applyAlignment="1">
      <alignment vertical="center" wrapText="1"/>
    </xf>
    <xf numFmtId="0" fontId="10" fillId="0" borderId="0" xfId="0" applyFont="1" applyAlignment="1">
      <alignment vertical="center" wrapText="1"/>
    </xf>
    <xf numFmtId="0" fontId="24" fillId="0" borderId="4" xfId="4" quotePrefix="1" applyFont="1" applyFill="1" applyBorder="1" applyAlignment="1">
      <alignment horizontal="center" vertical="center"/>
    </xf>
    <xf numFmtId="2" fontId="24" fillId="0" borderId="4" xfId="4" quotePrefix="1" applyNumberFormat="1" applyFont="1" applyFill="1" applyBorder="1" applyAlignment="1">
      <alignment horizontal="center" vertical="center"/>
    </xf>
    <xf numFmtId="0" fontId="0" fillId="0" borderId="14" xfId="0" applyBorder="1" applyAlignment="1">
      <alignment horizontal="center" vertical="center"/>
    </xf>
    <xf numFmtId="164" fontId="0" fillId="0" borderId="6" xfId="1" applyNumberFormat="1" applyFont="1" applyFill="1" applyBorder="1" applyAlignment="1">
      <alignment horizontal="center" vertical="center"/>
    </xf>
    <xf numFmtId="11" fontId="0" fillId="0" borderId="8" xfId="0" applyNumberFormat="1" applyBorder="1" applyAlignment="1">
      <alignment horizontal="center" vertical="center"/>
    </xf>
    <xf numFmtId="0" fontId="0" fillId="0" borderId="4" xfId="0" applyBorder="1" applyAlignment="1">
      <alignment wrapText="1"/>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vertical="center"/>
    </xf>
    <xf numFmtId="0" fontId="11" fillId="0" borderId="1" xfId="0" applyFont="1" applyBorder="1" applyAlignment="1">
      <alignment horizontal="left" vertical="center"/>
    </xf>
    <xf numFmtId="0" fontId="11" fillId="0" borderId="1" xfId="0" applyFont="1" applyBorder="1" applyAlignment="1">
      <alignment horizontal="center" vertical="center"/>
    </xf>
    <xf numFmtId="0" fontId="0" fillId="0" borderId="1" xfId="0" quotePrefix="1" applyBorder="1" applyAlignment="1">
      <alignment horizontal="center" vertical="center"/>
    </xf>
    <xf numFmtId="0" fontId="0" fillId="0" borderId="1" xfId="0" quotePrefix="1" applyBorder="1" applyAlignment="1">
      <alignment vertical="center" wrapText="1"/>
    </xf>
    <xf numFmtId="0" fontId="0" fillId="0" borderId="1" xfId="0" applyBorder="1" applyAlignment="1">
      <alignment horizontal="left" vertical="center" wrapText="1"/>
    </xf>
    <xf numFmtId="0" fontId="11" fillId="0" borderId="0" xfId="0" applyFont="1"/>
    <xf numFmtId="164" fontId="24" fillId="0" borderId="4" xfId="1" quotePrefix="1" applyNumberFormat="1" applyFont="1" applyFill="1" applyBorder="1" applyAlignment="1">
      <alignment horizontal="center" vertical="center"/>
    </xf>
    <xf numFmtId="164" fontId="0" fillId="0" borderId="4" xfId="1" quotePrefix="1" applyNumberFormat="1" applyFont="1" applyFill="1" applyBorder="1" applyAlignment="1">
      <alignment horizontal="center" vertical="center"/>
    </xf>
    <xf numFmtId="164" fontId="35" fillId="0" borderId="5" xfId="1" quotePrefix="1" applyNumberFormat="1" applyFont="1" applyFill="1" applyBorder="1" applyAlignment="1">
      <alignment horizontal="center" vertical="center"/>
    </xf>
    <xf numFmtId="164" fontId="35" fillId="0" borderId="4" xfId="1" applyNumberFormat="1" applyFont="1" applyFill="1" applyBorder="1" applyAlignment="1">
      <alignment horizontal="center" vertical="center"/>
    </xf>
    <xf numFmtId="173" fontId="0" fillId="0" borderId="4" xfId="0" applyNumberFormat="1" applyBorder="1" applyAlignment="1">
      <alignment horizontal="left" vertical="center" wrapText="1"/>
    </xf>
    <xf numFmtId="167" fontId="11" fillId="0" borderId="0" xfId="0" applyNumberFormat="1" applyFont="1"/>
    <xf numFmtId="10" fontId="38" fillId="0" borderId="4" xfId="1" quotePrefix="1" applyNumberFormat="1" applyFont="1" applyFill="1" applyBorder="1" applyAlignment="1">
      <alignment horizontal="center" vertical="center"/>
    </xf>
    <xf numFmtId="10" fontId="35" fillId="0" borderId="4" xfId="1" quotePrefix="1" applyNumberFormat="1" applyFont="1" applyFill="1" applyBorder="1" applyAlignment="1">
      <alignment horizontal="center" vertical="center"/>
    </xf>
    <xf numFmtId="0" fontId="0" fillId="0" borderId="0" xfId="0" applyAlignment="1">
      <alignment horizontal="center" vertical="center"/>
    </xf>
    <xf numFmtId="174" fontId="0" fillId="0" borderId="0" xfId="0" applyNumberFormat="1" applyAlignment="1">
      <alignment horizontal="center" vertical="center"/>
    </xf>
    <xf numFmtId="0" fontId="11" fillId="0" borderId="8" xfId="0" applyFont="1" applyBorder="1" applyAlignment="1">
      <alignment vertical="center"/>
    </xf>
    <xf numFmtId="2" fontId="0" fillId="0" borderId="5" xfId="0" applyNumberFormat="1" applyBorder="1" applyAlignment="1">
      <alignment vertical="center" wrapText="1"/>
    </xf>
    <xf numFmtId="0" fontId="10" fillId="0" borderId="5" xfId="0" applyFont="1" applyBorder="1" applyAlignment="1">
      <alignment vertical="center" wrapText="1"/>
    </xf>
    <xf numFmtId="167" fontId="11" fillId="0" borderId="4" xfId="0" applyNumberFormat="1" applyFont="1" applyBorder="1" applyAlignment="1">
      <alignment horizontal="center" vertical="center"/>
    </xf>
    <xf numFmtId="167" fontId="0" fillId="0" borderId="4" xfId="0" quotePrefix="1" applyNumberFormat="1" applyBorder="1" applyAlignment="1">
      <alignment horizontal="center" vertical="center"/>
    </xf>
    <xf numFmtId="0" fontId="18" fillId="0" borderId="0" xfId="0" applyFont="1"/>
    <xf numFmtId="11" fontId="0" fillId="0" borderId="6" xfId="0" applyNumberFormat="1" applyBorder="1" applyAlignment="1">
      <alignment horizontal="center" vertical="center"/>
    </xf>
    <xf numFmtId="10" fontId="35" fillId="0" borderId="4" xfId="1" applyNumberFormat="1" applyFont="1" applyFill="1" applyBorder="1" applyAlignment="1">
      <alignment horizontal="center" vertical="center"/>
    </xf>
    <xf numFmtId="9" fontId="35" fillId="0" borderId="4" xfId="1" applyFont="1" applyFill="1" applyBorder="1" applyAlignment="1">
      <alignment vertical="center" wrapText="1"/>
    </xf>
    <xf numFmtId="2" fontId="0" fillId="0" borderId="32" xfId="0" applyNumberFormat="1" applyBorder="1" applyAlignment="1">
      <alignment horizontal="center" vertical="center"/>
    </xf>
    <xf numFmtId="9" fontId="0" fillId="0" borderId="0" xfId="1" applyFont="1" applyAlignment="1">
      <alignment horizontal="center" vertical="center"/>
    </xf>
    <xf numFmtId="0" fontId="24" fillId="0" borderId="14" xfId="4" applyFont="1" applyFill="1" applyBorder="1" applyAlignment="1">
      <alignment vertical="center" wrapText="1"/>
    </xf>
    <xf numFmtId="2" fontId="0" fillId="0" borderId="8" xfId="1" applyNumberFormat="1" applyFont="1" applyFill="1" applyBorder="1" applyAlignment="1">
      <alignment horizontal="center" vertical="center"/>
    </xf>
    <xf numFmtId="9" fontId="0" fillId="0" borderId="8" xfId="1" applyFont="1" applyFill="1" applyBorder="1" applyAlignment="1">
      <alignment horizontal="center" vertical="center"/>
    </xf>
    <xf numFmtId="2" fontId="0" fillId="0" borderId="0" xfId="1" applyNumberFormat="1" applyFont="1" applyFill="1" applyBorder="1" applyAlignment="1">
      <alignment horizontal="center" vertical="center"/>
    </xf>
    <xf numFmtId="9" fontId="11" fillId="0" borderId="0" xfId="1" applyFont="1" applyFill="1" applyBorder="1" applyAlignment="1">
      <alignment horizontal="center" vertical="center"/>
    </xf>
    <xf numFmtId="11" fontId="0" fillId="0" borderId="1" xfId="0" applyNumberFormat="1" applyBorder="1"/>
    <xf numFmtId="1" fontId="0" fillId="0" borderId="35" xfId="0" applyNumberFormat="1" applyBorder="1" applyAlignment="1">
      <alignment horizontal="center" vertical="center"/>
    </xf>
    <xf numFmtId="11" fontId="0" fillId="0" borderId="20" xfId="0" applyNumberFormat="1" applyBorder="1" applyAlignment="1">
      <alignment horizontal="center" vertical="center"/>
    </xf>
    <xf numFmtId="11" fontId="0" fillId="0" borderId="21" xfId="0" applyNumberFormat="1" applyBorder="1" applyAlignment="1">
      <alignment horizontal="center" vertical="center"/>
    </xf>
    <xf numFmtId="0" fontId="0" fillId="8" borderId="0" xfId="0" applyFill="1"/>
    <xf numFmtId="0" fontId="12" fillId="8" borderId="0" xfId="0" applyFont="1" applyFill="1"/>
    <xf numFmtId="11" fontId="0" fillId="0" borderId="20" xfId="0" applyNumberFormat="1" applyBorder="1" applyAlignment="1">
      <alignment horizontal="center" vertical="center" wrapText="1"/>
    </xf>
    <xf numFmtId="0" fontId="17" fillId="0" borderId="0" xfId="0" applyFont="1"/>
    <xf numFmtId="0" fontId="39" fillId="0" borderId="0" xfId="0" applyFont="1" applyAlignment="1">
      <alignment horizontal="right"/>
    </xf>
    <xf numFmtId="11"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19" xfId="0" applyFont="1" applyBorder="1" applyAlignment="1">
      <alignment horizontal="center" vertical="center" wrapText="1"/>
    </xf>
    <xf numFmtId="10" fontId="0" fillId="0" borderId="0" xfId="1" applyNumberFormat="1" applyFont="1" applyAlignment="1">
      <alignment horizontal="center" vertical="center"/>
    </xf>
    <xf numFmtId="0" fontId="12" fillId="0" borderId="35" xfId="0" applyFont="1" applyBorder="1" applyAlignment="1">
      <alignment horizontal="center" vertical="center"/>
    </xf>
    <xf numFmtId="2" fontId="9" fillId="0" borderId="6" xfId="0" applyNumberFormat="1" applyFont="1" applyBorder="1" applyAlignment="1">
      <alignment horizontal="center" vertical="center"/>
    </xf>
    <xf numFmtId="11" fontId="11" fillId="0" borderId="14" xfId="0" applyNumberFormat="1" applyFont="1" applyBorder="1" applyAlignment="1">
      <alignment horizontal="center" vertical="center"/>
    </xf>
    <xf numFmtId="166" fontId="0" fillId="0" borderId="1" xfId="0" applyNumberFormat="1" applyBorder="1" applyAlignment="1">
      <alignment horizontal="center" vertical="center"/>
    </xf>
    <xf numFmtId="166" fontId="0" fillId="0" borderId="0" xfId="0" applyNumberFormat="1" applyAlignment="1">
      <alignment horizontal="center" vertical="center"/>
    </xf>
    <xf numFmtId="167" fontId="0" fillId="0" borderId="0" xfId="0" applyNumberFormat="1" applyAlignment="1">
      <alignment horizontal="center" vertical="center"/>
    </xf>
    <xf numFmtId="0" fontId="0" fillId="0" borderId="9" xfId="0" quotePrefix="1" applyBorder="1" applyAlignment="1">
      <alignment horizontal="center" vertical="center"/>
    </xf>
    <xf numFmtId="166" fontId="0" fillId="0" borderId="4" xfId="0" applyNumberFormat="1" applyBorder="1" applyAlignment="1">
      <alignment horizontal="center" vertical="center"/>
    </xf>
    <xf numFmtId="2" fontId="11" fillId="0" borderId="8" xfId="0" applyNumberFormat="1" applyFont="1" applyBorder="1" applyAlignment="1">
      <alignment horizontal="center" vertical="center"/>
    </xf>
    <xf numFmtId="11" fontId="0" fillId="0" borderId="1" xfId="0" applyNumberFormat="1" applyBorder="1" applyAlignment="1">
      <alignment horizontal="center" vertical="center"/>
    </xf>
    <xf numFmtId="11" fontId="11" fillId="0" borderId="5" xfId="0" applyNumberFormat="1" applyFont="1" applyBorder="1" applyAlignment="1">
      <alignment horizontal="center" vertical="center"/>
    </xf>
    <xf numFmtId="167" fontId="11" fillId="0" borderId="5" xfId="0" applyNumberFormat="1" applyFont="1" applyBorder="1" applyAlignment="1">
      <alignment horizontal="center" vertical="center"/>
    </xf>
    <xf numFmtId="166" fontId="11" fillId="0" borderId="8" xfId="0" applyNumberFormat="1" applyFont="1" applyBorder="1" applyAlignment="1">
      <alignment horizontal="center" vertical="center"/>
    </xf>
    <xf numFmtId="0" fontId="11" fillId="0" borderId="9" xfId="0" applyFont="1" applyBorder="1" applyAlignment="1">
      <alignment horizontal="center" vertical="center"/>
    </xf>
    <xf numFmtId="11" fontId="0" fillId="0" borderId="4" xfId="0" quotePrefix="1" applyNumberFormat="1" applyBorder="1" applyAlignment="1">
      <alignment horizontal="center" vertical="center"/>
    </xf>
    <xf numFmtId="166" fontId="11" fillId="0" borderId="4" xfId="0" applyNumberFormat="1" applyFont="1" applyBorder="1" applyAlignment="1">
      <alignment horizontal="center" vertical="center"/>
    </xf>
    <xf numFmtId="166" fontId="0" fillId="0" borderId="8" xfId="0" applyNumberFormat="1" applyBorder="1" applyAlignment="1">
      <alignment horizontal="center" vertical="center"/>
    </xf>
    <xf numFmtId="2" fontId="0" fillId="0" borderId="9" xfId="0" applyNumberFormat="1" applyBorder="1" applyAlignment="1">
      <alignment horizontal="center" vertical="center"/>
    </xf>
    <xf numFmtId="0" fontId="11" fillId="0" borderId="15" xfId="0" applyFont="1" applyBorder="1" applyAlignment="1">
      <alignment vertical="center"/>
    </xf>
    <xf numFmtId="0" fontId="0" fillId="0" borderId="11" xfId="0" applyBorder="1" applyAlignment="1">
      <alignment vertical="center"/>
    </xf>
    <xf numFmtId="0" fontId="0" fillId="0" borderId="11" xfId="0" applyBorder="1" applyAlignment="1">
      <alignment horizontal="left" vertical="center"/>
    </xf>
    <xf numFmtId="0" fontId="0" fillId="0" borderId="18" xfId="0" applyBorder="1" applyAlignment="1">
      <alignment vertical="center" wrapText="1"/>
    </xf>
    <xf numFmtId="0" fontId="11" fillId="0" borderId="31" xfId="0" applyFont="1" applyBorder="1" applyAlignment="1">
      <alignment horizontal="left" vertical="center" wrapText="1"/>
    </xf>
    <xf numFmtId="0" fontId="0" fillId="0" borderId="11" xfId="0" applyBorder="1" applyAlignment="1">
      <alignment horizontal="center" vertical="center"/>
    </xf>
    <xf numFmtId="167" fontId="0" fillId="0" borderId="12" xfId="0" applyNumberFormat="1" applyBorder="1" applyAlignment="1">
      <alignment horizontal="center" vertical="center"/>
    </xf>
    <xf numFmtId="2" fontId="0" fillId="0" borderId="12" xfId="0" applyNumberFormat="1" applyBorder="1" applyAlignment="1">
      <alignment horizontal="center" vertical="center"/>
    </xf>
    <xf numFmtId="0" fontId="24" fillId="0" borderId="0" xfId="0" applyFont="1" applyAlignment="1">
      <alignment vertical="center" wrapText="1"/>
    </xf>
    <xf numFmtId="0" fontId="11" fillId="0" borderId="14" xfId="0" applyFont="1" applyBorder="1" applyAlignment="1">
      <alignment horizontal="center" vertical="center"/>
    </xf>
    <xf numFmtId="0" fontId="11" fillId="0" borderId="4" xfId="0" quotePrefix="1" applyFont="1" applyBorder="1" applyAlignment="1">
      <alignment vertical="center" wrapText="1"/>
    </xf>
    <xf numFmtId="0" fontId="11" fillId="0" borderId="1" xfId="0" applyFont="1" applyBorder="1" applyAlignment="1">
      <alignment vertical="center" wrapText="1"/>
    </xf>
    <xf numFmtId="0" fontId="0" fillId="0" borderId="31" xfId="0" applyBorder="1" applyAlignment="1">
      <alignment vertical="center" wrapText="1"/>
    </xf>
    <xf numFmtId="0" fontId="35" fillId="0" borderId="4" xfId="0" applyFont="1" applyBorder="1" applyAlignment="1">
      <alignment vertical="center"/>
    </xf>
    <xf numFmtId="2" fontId="0" fillId="0" borderId="32" xfId="0" applyNumberFormat="1" applyBorder="1" applyAlignment="1">
      <alignment horizontal="center"/>
    </xf>
    <xf numFmtId="1" fontId="0" fillId="0" borderId="0" xfId="0" applyNumberFormat="1" applyAlignment="1">
      <alignment horizontal="center" vertical="center"/>
    </xf>
    <xf numFmtId="0" fontId="0" fillId="0" borderId="35" xfId="0" applyBorder="1" applyAlignment="1">
      <alignment vertical="center"/>
    </xf>
    <xf numFmtId="0" fontId="0" fillId="0" borderId="35" xfId="0" applyBorder="1" applyAlignment="1">
      <alignment horizontal="center" vertical="center" wrapText="1"/>
    </xf>
    <xf numFmtId="0" fontId="0" fillId="0" borderId="35" xfId="0" applyBorder="1"/>
    <xf numFmtId="0" fontId="0" fillId="0" borderId="35" xfId="0" applyBorder="1" applyAlignment="1">
      <alignment horizontal="left"/>
    </xf>
    <xf numFmtId="0" fontId="0" fillId="0" borderId="32" xfId="0" applyBorder="1" applyAlignment="1">
      <alignment horizontal="left" vertical="center"/>
    </xf>
    <xf numFmtId="0" fontId="41" fillId="0" borderId="0" xfId="0" applyFont="1"/>
    <xf numFmtId="11" fontId="0" fillId="0" borderId="0" xfId="1" applyNumberFormat="1" applyFont="1" applyAlignment="1">
      <alignment horizontal="center" vertical="center"/>
    </xf>
    <xf numFmtId="11" fontId="12" fillId="0" borderId="0" xfId="0" applyNumberFormat="1" applyFont="1" applyAlignment="1">
      <alignment horizontal="center" vertical="center" wrapText="1"/>
    </xf>
    <xf numFmtId="0" fontId="0" fillId="0" borderId="32" xfId="0" applyBorder="1"/>
    <xf numFmtId="0" fontId="29" fillId="0" borderId="0" xfId="0" applyFont="1" applyAlignment="1">
      <alignment horizontal="left" vertical="center" wrapText="1"/>
    </xf>
    <xf numFmtId="0" fontId="0" fillId="0" borderId="0" xfId="0" applyAlignment="1">
      <alignment horizontal="center" vertical="center" wrapText="1"/>
    </xf>
    <xf numFmtId="0" fontId="11" fillId="0" borderId="6" xfId="0" applyFont="1" applyBorder="1" applyAlignment="1">
      <alignment horizontal="left" vertical="center" wrapText="1"/>
    </xf>
    <xf numFmtId="0" fontId="0" fillId="0" borderId="6" xfId="0" applyBorder="1" applyAlignment="1">
      <alignment horizontal="left" vertical="center" wrapText="1"/>
    </xf>
    <xf numFmtId="166" fontId="43" fillId="0" borderId="0" xfId="0" applyNumberFormat="1" applyFont="1"/>
    <xf numFmtId="0" fontId="9" fillId="0" borderId="6" xfId="0" quotePrefix="1" applyFont="1" applyBorder="1" applyAlignment="1">
      <alignment horizontal="left" vertical="center" wrapText="1"/>
    </xf>
    <xf numFmtId="0" fontId="20" fillId="0" borderId="6" xfId="0" applyFont="1" applyBorder="1" applyAlignment="1">
      <alignment horizontal="left" vertical="center"/>
    </xf>
    <xf numFmtId="10" fontId="0" fillId="0" borderId="4" xfId="1" applyNumberFormat="1" applyFont="1" applyFill="1" applyBorder="1" applyAlignment="1">
      <alignment horizontal="center" vertical="center"/>
    </xf>
    <xf numFmtId="0" fontId="9" fillId="0" borderId="6" xfId="0" applyFont="1" applyBorder="1" applyAlignment="1">
      <alignment horizontal="center" vertical="center"/>
    </xf>
    <xf numFmtId="10" fontId="20" fillId="0" borderId="4" xfId="1" applyNumberFormat="1" applyFont="1" applyFill="1" applyBorder="1" applyAlignment="1">
      <alignment horizontal="center" vertical="center"/>
    </xf>
    <xf numFmtId="9" fontId="20" fillId="0" borderId="4" xfId="1" applyFont="1" applyFill="1" applyBorder="1" applyAlignment="1">
      <alignment horizontal="center" vertical="center"/>
    </xf>
    <xf numFmtId="0" fontId="20" fillId="0" borderId="4" xfId="0" quotePrefix="1" applyFont="1" applyBorder="1" applyAlignment="1">
      <alignment horizontal="left" vertical="center" wrapText="1"/>
    </xf>
    <xf numFmtId="9" fontId="20" fillId="0" borderId="9" xfId="1" quotePrefix="1" applyFont="1" applyFill="1" applyBorder="1" applyAlignment="1">
      <alignment horizontal="center" vertical="center"/>
    </xf>
    <xf numFmtId="0" fontId="0" fillId="0" borderId="9" xfId="0" quotePrefix="1" applyBorder="1" applyAlignment="1">
      <alignment vertical="center" wrapText="1"/>
    </xf>
    <xf numFmtId="10" fontId="12" fillId="0" borderId="6" xfId="1" applyNumberFormat="1" applyFont="1" applyFill="1" applyBorder="1" applyAlignment="1">
      <alignment horizontal="center" vertical="center"/>
    </xf>
    <xf numFmtId="0" fontId="20" fillId="0" borderId="4" xfId="0" applyFont="1" applyBorder="1" applyAlignment="1">
      <alignment horizontal="left" vertical="center" wrapText="1"/>
    </xf>
    <xf numFmtId="173" fontId="20" fillId="0" borderId="4" xfId="0" applyNumberFormat="1" applyFont="1" applyBorder="1" applyAlignment="1">
      <alignment horizontal="left" vertical="center" wrapText="1"/>
    </xf>
    <xf numFmtId="164" fontId="9" fillId="0" borderId="6" xfId="1" applyNumberFormat="1" applyFont="1" applyFill="1" applyBorder="1" applyAlignment="1">
      <alignment horizontal="center" vertical="center"/>
    </xf>
    <xf numFmtId="164" fontId="9" fillId="0" borderId="4" xfId="1" applyNumberFormat="1" applyFont="1" applyFill="1" applyBorder="1" applyAlignment="1">
      <alignment horizontal="center" vertical="center"/>
    </xf>
    <xf numFmtId="0" fontId="9" fillId="0" borderId="4" xfId="0" applyFont="1" applyBorder="1" applyAlignment="1">
      <alignment horizontal="center" vertical="center"/>
    </xf>
    <xf numFmtId="164" fontId="0" fillId="0" borderId="5" xfId="1" applyNumberFormat="1" applyFont="1" applyFill="1" applyBorder="1" applyAlignment="1">
      <alignment horizontal="center" vertical="center"/>
    </xf>
    <xf numFmtId="0" fontId="11" fillId="0" borderId="7" xfId="0" applyFont="1" applyBorder="1" applyAlignment="1">
      <alignment vertical="center" wrapText="1"/>
    </xf>
    <xf numFmtId="2" fontId="0" fillId="0" borderId="0" xfId="0" applyNumberFormat="1" applyAlignment="1">
      <alignment horizontal="center" vertical="center"/>
    </xf>
    <xf numFmtId="0" fontId="19" fillId="0" borderId="4" xfId="4" applyFill="1" applyBorder="1" applyAlignment="1">
      <alignment vertical="center" wrapText="1"/>
    </xf>
    <xf numFmtId="0" fontId="26" fillId="0" borderId="4" xfId="4" applyFont="1" applyFill="1" applyBorder="1" applyAlignment="1">
      <alignment vertical="center" wrapText="1"/>
    </xf>
    <xf numFmtId="9" fontId="0" fillId="0" borderId="5" xfId="1" applyFont="1" applyFill="1" applyBorder="1" applyAlignment="1">
      <alignment horizontal="center" vertical="center"/>
    </xf>
    <xf numFmtId="9" fontId="35" fillId="0" borderId="4" xfId="1" applyFont="1" applyFill="1" applyBorder="1" applyAlignment="1">
      <alignment horizontal="center" vertical="center"/>
    </xf>
    <xf numFmtId="0" fontId="10" fillId="0" borderId="4" xfId="0" applyFont="1" applyBorder="1" applyAlignment="1">
      <alignment horizontal="center" vertical="center"/>
    </xf>
    <xf numFmtId="0" fontId="14" fillId="0" borderId="6" xfId="0" applyFont="1" applyBorder="1" applyAlignment="1">
      <alignment horizontal="center" vertical="center"/>
    </xf>
    <xf numFmtId="0" fontId="7" fillId="0" borderId="6" xfId="8" applyBorder="1" applyAlignment="1">
      <alignment vertical="center"/>
    </xf>
    <xf numFmtId="0" fontId="14" fillId="0" borderId="4" xfId="0" applyFont="1" applyBorder="1" applyAlignment="1">
      <alignment horizontal="center" vertical="center"/>
    </xf>
    <xf numFmtId="0" fontId="14" fillId="0" borderId="4" xfId="8" applyFont="1" applyBorder="1" applyAlignment="1">
      <alignment horizontal="left" vertical="center"/>
    </xf>
    <xf numFmtId="1" fontId="14" fillId="0" borderId="4" xfId="8" applyNumberFormat="1" applyFont="1" applyBorder="1" applyAlignment="1">
      <alignment horizontal="center" vertical="center"/>
    </xf>
    <xf numFmtId="0" fontId="14" fillId="0" borderId="8" xfId="8" applyFont="1" applyBorder="1" applyAlignment="1">
      <alignment vertical="center"/>
    </xf>
    <xf numFmtId="2" fontId="14" fillId="0" borderId="8" xfId="8" applyNumberFormat="1" applyFont="1" applyBorder="1" applyAlignment="1">
      <alignment horizontal="center" vertical="center"/>
    </xf>
    <xf numFmtId="0" fontId="14" fillId="0" borderId="8" xfId="0" applyFont="1" applyBorder="1" applyAlignment="1">
      <alignment horizontal="center" vertical="center"/>
    </xf>
    <xf numFmtId="0" fontId="25" fillId="0" borderId="8" xfId="8" applyFont="1" applyBorder="1" applyAlignment="1">
      <alignment horizontal="left" vertical="center" wrapText="1"/>
    </xf>
    <xf numFmtId="0" fontId="7" fillId="0" borderId="8" xfId="8" applyBorder="1" applyAlignment="1">
      <alignment vertical="center"/>
    </xf>
    <xf numFmtId="0" fontId="14" fillId="0" borderId="0" xfId="8" applyFont="1" applyAlignment="1">
      <alignment vertical="center"/>
    </xf>
    <xf numFmtId="2" fontId="14" fillId="0" borderId="0" xfId="8" applyNumberFormat="1" applyFont="1" applyAlignment="1">
      <alignment horizontal="center" vertical="center"/>
    </xf>
    <xf numFmtId="0" fontId="14" fillId="0" borderId="0" xfId="0" applyFont="1" applyAlignment="1">
      <alignment horizontal="center" vertical="center"/>
    </xf>
    <xf numFmtId="0" fontId="25" fillId="0" borderId="0" xfId="8" applyFont="1" applyAlignment="1">
      <alignment horizontal="left" vertical="center" wrapText="1"/>
    </xf>
    <xf numFmtId="0" fontId="7" fillId="0" borderId="0" xfId="8" applyAlignment="1">
      <alignment vertical="center"/>
    </xf>
    <xf numFmtId="0" fontId="6" fillId="0" borderId="4" xfId="8" applyFont="1" applyBorder="1" applyAlignment="1">
      <alignment vertical="center"/>
    </xf>
    <xf numFmtId="0" fontId="0" fillId="0" borderId="8" xfId="8" applyFont="1" applyBorder="1" applyAlignment="1">
      <alignment vertical="center"/>
    </xf>
    <xf numFmtId="2" fontId="0" fillId="0" borderId="8" xfId="8" applyNumberFormat="1" applyFont="1" applyBorder="1" applyAlignment="1">
      <alignment horizontal="center" vertical="center"/>
    </xf>
    <xf numFmtId="0" fontId="23" fillId="0" borderId="8" xfId="8" applyFont="1" applyBorder="1" applyAlignment="1">
      <alignment horizontal="left" vertical="center" wrapText="1"/>
    </xf>
    <xf numFmtId="0" fontId="23" fillId="0" borderId="8" xfId="8" applyFont="1" applyBorder="1" applyAlignment="1">
      <alignment horizontal="left" vertical="center"/>
    </xf>
    <xf numFmtId="11" fontId="14" fillId="0" borderId="4" xfId="8" applyNumberFormat="1" applyFont="1" applyBorder="1" applyAlignment="1">
      <alignment horizontal="center" vertical="center"/>
    </xf>
    <xf numFmtId="0" fontId="14" fillId="0" borderId="13" xfId="8" applyFont="1" applyBorder="1" applyAlignment="1">
      <alignment vertical="center"/>
    </xf>
    <xf numFmtId="11" fontId="14" fillId="0" borderId="8" xfId="8" applyNumberFormat="1" applyFont="1" applyBorder="1" applyAlignment="1">
      <alignment horizontal="center" vertical="center"/>
    </xf>
    <xf numFmtId="0" fontId="14" fillId="0" borderId="8" xfId="8" applyFont="1" applyBorder="1" applyAlignment="1">
      <alignment vertical="center" wrapText="1"/>
    </xf>
    <xf numFmtId="11" fontId="14" fillId="0" borderId="0" xfId="8" applyNumberFormat="1" applyFont="1" applyAlignment="1">
      <alignment horizontal="center" vertical="center"/>
    </xf>
    <xf numFmtId="0" fontId="14" fillId="0" borderId="0" xfId="8" applyFont="1" applyAlignment="1">
      <alignment vertical="center" wrapText="1"/>
    </xf>
    <xf numFmtId="9" fontId="20" fillId="0" borderId="6" xfId="1" applyFont="1" applyFill="1" applyBorder="1" applyAlignment="1">
      <alignment horizontal="center" vertical="center"/>
    </xf>
    <xf numFmtId="164" fontId="20" fillId="0" borderId="6" xfId="1" applyNumberFormat="1" applyFont="1" applyFill="1" applyBorder="1" applyAlignment="1">
      <alignment horizontal="center" vertical="center"/>
    </xf>
    <xf numFmtId="164" fontId="0" fillId="0" borderId="14" xfId="1" applyNumberFormat="1" applyFont="1" applyFill="1" applyBorder="1" applyAlignment="1">
      <alignment horizontal="center" vertical="center"/>
    </xf>
    <xf numFmtId="164" fontId="11" fillId="0" borderId="14" xfId="1" applyNumberFormat="1" applyFont="1" applyFill="1" applyBorder="1" applyAlignment="1">
      <alignment horizontal="center" vertical="center"/>
    </xf>
    <xf numFmtId="164" fontId="0" fillId="0" borderId="5" xfId="1" quotePrefix="1" applyNumberFormat="1" applyFont="1" applyFill="1" applyBorder="1" applyAlignment="1">
      <alignment horizontal="center" vertical="center"/>
    </xf>
    <xf numFmtId="0" fontId="12" fillId="0" borderId="5" xfId="0" applyFont="1" applyBorder="1" applyAlignment="1">
      <alignment horizontal="center" vertical="center" wrapText="1"/>
    </xf>
    <xf numFmtId="169" fontId="0" fillId="0" borderId="4" xfId="0" applyNumberFormat="1" applyBorder="1" applyAlignment="1">
      <alignment horizontal="center" vertical="center"/>
    </xf>
    <xf numFmtId="168" fontId="0" fillId="0" borderId="4" xfId="0" applyNumberFormat="1" applyBorder="1" applyAlignment="1">
      <alignment horizontal="center" vertical="center"/>
    </xf>
    <xf numFmtId="0" fontId="0" fillId="0" borderId="2" xfId="0" applyBorder="1" applyAlignment="1">
      <alignment horizontal="center"/>
    </xf>
    <xf numFmtId="0" fontId="0" fillId="0" borderId="37" xfId="0" applyBorder="1" applyAlignment="1">
      <alignment horizontal="center"/>
    </xf>
    <xf numFmtId="0" fontId="11" fillId="0" borderId="34" xfId="0" applyFont="1" applyBorder="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1" fillId="0" borderId="38" xfId="0" applyFont="1" applyBorder="1" applyAlignment="1">
      <alignment horizontal="center" vertical="center" wrapText="1"/>
    </xf>
    <xf numFmtId="11" fontId="0" fillId="0" borderId="34" xfId="0" applyNumberFormat="1" applyBorder="1" applyAlignment="1">
      <alignment horizontal="center" vertical="center"/>
    </xf>
    <xf numFmtId="9" fontId="0" fillId="0" borderId="0" xfId="1" applyFont="1" applyBorder="1" applyAlignment="1">
      <alignment horizontal="center" vertical="center"/>
    </xf>
    <xf numFmtId="9" fontId="0" fillId="0" borderId="38" xfId="1" applyFont="1" applyBorder="1" applyAlignment="1">
      <alignment horizontal="center" vertical="center"/>
    </xf>
    <xf numFmtId="9" fontId="0" fillId="0" borderId="0" xfId="1" applyFont="1" applyFill="1" applyBorder="1" applyAlignment="1">
      <alignment horizontal="center" vertical="center"/>
    </xf>
    <xf numFmtId="9" fontId="0" fillId="0" borderId="38" xfId="1" applyFont="1" applyFill="1" applyBorder="1" applyAlignment="1">
      <alignment horizontal="center" vertical="center"/>
    </xf>
    <xf numFmtId="11" fontId="0" fillId="0" borderId="39" xfId="0" applyNumberFormat="1" applyBorder="1" applyAlignment="1">
      <alignment horizontal="center" vertical="center"/>
    </xf>
    <xf numFmtId="0" fontId="34" fillId="0" borderId="16" xfId="0" applyFont="1" applyBorder="1" applyAlignment="1">
      <alignment vertical="center"/>
    </xf>
    <xf numFmtId="0" fontId="18" fillId="0" borderId="0" xfId="0" applyFont="1" applyAlignment="1">
      <alignment horizontal="center" vertical="center" wrapText="1"/>
    </xf>
    <xf numFmtId="0" fontId="0" fillId="14" borderId="0" xfId="0" applyFill="1" applyAlignment="1">
      <alignment vertical="center"/>
    </xf>
    <xf numFmtId="11" fontId="11" fillId="0" borderId="1" xfId="0" applyNumberFormat="1" applyFont="1" applyBorder="1"/>
    <xf numFmtId="0" fontId="11" fillId="0" borderId="1" xfId="0" applyFont="1" applyBorder="1"/>
    <xf numFmtId="0" fontId="12" fillId="0" borderId="0" xfId="0" applyFont="1" applyAlignment="1">
      <alignment vertical="center"/>
    </xf>
    <xf numFmtId="0" fontId="12" fillId="0" borderId="35" xfId="0" applyFont="1" applyBorder="1" applyAlignment="1">
      <alignment horizontal="center" vertical="center" wrapText="1"/>
    </xf>
    <xf numFmtId="0" fontId="39" fillId="0" borderId="0" xfId="0" applyFont="1" applyAlignment="1">
      <alignment horizontal="right" vertical="center"/>
    </xf>
    <xf numFmtId="0" fontId="10" fillId="0" borderId="0" xfId="0" applyFont="1" applyAlignment="1">
      <alignment vertical="center"/>
    </xf>
    <xf numFmtId="0" fontId="17" fillId="0" borderId="0" xfId="0" applyFont="1" applyAlignment="1">
      <alignment vertical="center"/>
    </xf>
    <xf numFmtId="11" fontId="0" fillId="0" borderId="38" xfId="0" applyNumberFormat="1" applyBorder="1" applyAlignment="1">
      <alignment horizontal="center" vertical="center"/>
    </xf>
    <xf numFmtId="0" fontId="17" fillId="0" borderId="0" xfId="0" applyFont="1" applyAlignment="1">
      <alignment vertical="center" wrapText="1"/>
    </xf>
    <xf numFmtId="0" fontId="39" fillId="0" borderId="35" xfId="0" applyFont="1" applyBorder="1" applyAlignment="1">
      <alignment horizontal="center" vertical="center"/>
    </xf>
    <xf numFmtId="0" fontId="34" fillId="8" borderId="16" xfId="0" applyFont="1" applyFill="1" applyBorder="1" applyAlignment="1">
      <alignment vertical="center"/>
    </xf>
    <xf numFmtId="0" fontId="34" fillId="16" borderId="16" xfId="0" applyFont="1" applyFill="1" applyBorder="1" applyAlignment="1">
      <alignment vertical="center"/>
    </xf>
    <xf numFmtId="0" fontId="34" fillId="9" borderId="16" xfId="0" applyFont="1" applyFill="1" applyBorder="1" applyAlignment="1">
      <alignment vertical="center"/>
    </xf>
    <xf numFmtId="0" fontId="34" fillId="7" borderId="16" xfId="0" applyFont="1" applyFill="1" applyBorder="1" applyAlignment="1">
      <alignment vertical="center"/>
    </xf>
    <xf numFmtId="0" fontId="12" fillId="17" borderId="0" xfId="0" applyFont="1" applyFill="1" applyAlignment="1">
      <alignment vertical="center"/>
    </xf>
    <xf numFmtId="0" fontId="0" fillId="17" borderId="0" xfId="0" applyFill="1" applyAlignment="1">
      <alignment vertical="center"/>
    </xf>
    <xf numFmtId="0" fontId="0" fillId="17" borderId="0" xfId="0" applyFill="1" applyAlignment="1">
      <alignment horizontal="center" vertical="center"/>
    </xf>
    <xf numFmtId="0" fontId="12" fillId="14" borderId="0" xfId="0" applyFont="1" applyFill="1" applyAlignment="1">
      <alignment vertical="center"/>
    </xf>
    <xf numFmtId="0" fontId="0" fillId="14" borderId="0" xfId="0" applyFill="1" applyAlignment="1">
      <alignment horizontal="center" vertical="center"/>
    </xf>
    <xf numFmtId="0" fontId="12" fillId="15" borderId="0" xfId="0" applyFont="1" applyFill="1" applyAlignment="1">
      <alignment vertical="center"/>
    </xf>
    <xf numFmtId="0" fontId="0" fillId="15" borderId="0" xfId="0" applyFill="1" applyAlignment="1">
      <alignment vertical="center"/>
    </xf>
    <xf numFmtId="0" fontId="0" fillId="15" borderId="0" xfId="0" applyFill="1" applyAlignment="1">
      <alignment horizontal="center" vertical="center"/>
    </xf>
    <xf numFmtId="176" fontId="12" fillId="0" borderId="0" xfId="1" applyNumberFormat="1" applyFont="1" applyAlignment="1">
      <alignment horizontal="center" vertical="center" wrapText="1"/>
    </xf>
    <xf numFmtId="11" fontId="0" fillId="17" borderId="0" xfId="0" applyNumberFormat="1" applyFill="1" applyAlignment="1">
      <alignment horizontal="center" vertical="center"/>
    </xf>
    <xf numFmtId="11" fontId="0" fillId="15" borderId="0" xfId="0" applyNumberFormat="1" applyFill="1" applyAlignment="1">
      <alignment horizontal="center" vertical="center"/>
    </xf>
    <xf numFmtId="11" fontId="0" fillId="14" borderId="0" xfId="0" applyNumberFormat="1" applyFill="1" applyAlignment="1">
      <alignment horizontal="center" vertical="center"/>
    </xf>
    <xf numFmtId="0" fontId="12" fillId="0" borderId="0" xfId="0" applyFont="1" applyAlignment="1">
      <alignment vertical="center" wrapText="1"/>
    </xf>
    <xf numFmtId="2" fontId="0" fillId="0" borderId="4" xfId="0" applyNumberFormat="1" applyBorder="1" applyAlignment="1">
      <alignment vertical="center"/>
    </xf>
    <xf numFmtId="0" fontId="9" fillId="5" borderId="5" xfId="0" applyFont="1" applyFill="1" applyBorder="1" applyAlignment="1">
      <alignment horizontal="center" vertical="center"/>
    </xf>
    <xf numFmtId="0" fontId="11" fillId="0" borderId="6" xfId="0" applyFont="1" applyBorder="1" applyAlignment="1">
      <alignment horizontal="left" vertical="center"/>
    </xf>
    <xf numFmtId="0" fontId="9" fillId="0" borderId="14" xfId="0" applyFont="1" applyBorder="1" applyAlignment="1">
      <alignment horizontal="center" vertical="center"/>
    </xf>
    <xf numFmtId="0" fontId="19" fillId="0" borderId="4" xfId="4" applyFill="1" applyBorder="1" applyAlignment="1"/>
    <xf numFmtId="0" fontId="19" fillId="0" borderId="5" xfId="4" applyFill="1" applyBorder="1" applyAlignment="1"/>
    <xf numFmtId="0" fontId="0" fillId="0" borderId="9" xfId="0" applyBorder="1" applyAlignment="1">
      <alignment horizontal="center" vertical="center" wrapText="1"/>
    </xf>
    <xf numFmtId="0" fontId="11" fillId="0" borderId="8" xfId="0" applyFont="1" applyBorder="1" applyAlignment="1">
      <alignment horizontal="left" vertical="center" wrapText="1"/>
    </xf>
    <xf numFmtId="0" fontId="0" fillId="0" borderId="8" xfId="0" applyBorder="1" applyAlignment="1">
      <alignment horizontal="left" vertical="center" wrapText="1"/>
    </xf>
    <xf numFmtId="0" fontId="0" fillId="0" borderId="14" xfId="0" applyBorder="1" applyAlignment="1">
      <alignment horizontal="left" vertical="center" wrapText="1"/>
    </xf>
    <xf numFmtId="0" fontId="0" fillId="0" borderId="5" xfId="0" applyBorder="1" applyAlignment="1">
      <alignment horizontal="center" vertical="center" wrapText="1"/>
    </xf>
    <xf numFmtId="2" fontId="20" fillId="0" borderId="6" xfId="0" applyNumberFormat="1" applyFont="1" applyBorder="1" applyAlignment="1">
      <alignment horizontal="center" vertical="center"/>
    </xf>
    <xf numFmtId="10" fontId="20" fillId="0" borderId="6" xfId="1" applyNumberFormat="1" applyFont="1" applyFill="1" applyBorder="1" applyAlignment="1">
      <alignment horizontal="center" vertical="center"/>
    </xf>
    <xf numFmtId="10" fontId="14" fillId="0" borderId="6" xfId="1" applyNumberFormat="1" applyFont="1" applyFill="1" applyBorder="1" applyAlignment="1">
      <alignment horizontal="center" vertical="center"/>
    </xf>
    <xf numFmtId="10" fontId="45" fillId="0" borderId="4" xfId="1" applyNumberFormat="1" applyFont="1" applyFill="1" applyBorder="1" applyAlignment="1">
      <alignment horizontal="center" vertical="center"/>
    </xf>
    <xf numFmtId="9" fontId="45" fillId="0" borderId="4" xfId="1" applyFont="1" applyFill="1" applyBorder="1" applyAlignment="1">
      <alignment horizontal="center" vertical="center"/>
    </xf>
    <xf numFmtId="164" fontId="14" fillId="0" borderId="6" xfId="1" applyNumberFormat="1" applyFont="1" applyFill="1" applyBorder="1" applyAlignment="1">
      <alignment horizontal="center" vertical="center"/>
    </xf>
    <xf numFmtId="0" fontId="7" fillId="0" borderId="7" xfId="8" applyBorder="1" applyAlignment="1">
      <alignment vertical="center"/>
    </xf>
    <xf numFmtId="0" fontId="20" fillId="0" borderId="6" xfId="0" applyFont="1" applyBorder="1" applyAlignment="1">
      <alignment horizontal="left" vertical="center" wrapText="1"/>
    </xf>
    <xf numFmtId="0" fontId="16" fillId="0" borderId="0" xfId="3" applyFill="1" applyAlignment="1">
      <alignment wrapText="1"/>
    </xf>
    <xf numFmtId="0" fontId="19" fillId="0" borderId="4" xfId="4" applyFill="1" applyBorder="1" applyAlignment="1">
      <alignment wrapText="1"/>
    </xf>
    <xf numFmtId="0" fontId="19" fillId="0" borderId="8" xfId="4" applyFill="1" applyBorder="1" applyAlignment="1">
      <alignment wrapText="1"/>
    </xf>
    <xf numFmtId="0" fontId="19" fillId="0" borderId="0" xfId="4" applyFill="1" applyBorder="1" applyAlignment="1">
      <alignment wrapText="1"/>
    </xf>
    <xf numFmtId="11" fontId="7" fillId="0" borderId="4" xfId="8" applyNumberFormat="1" applyBorder="1" applyAlignment="1">
      <alignment vertical="center" wrapText="1"/>
    </xf>
    <xf numFmtId="0" fontId="19" fillId="0" borderId="5" xfId="4" applyFill="1" applyBorder="1" applyAlignment="1">
      <alignment wrapText="1"/>
    </xf>
    <xf numFmtId="11" fontId="11" fillId="0" borderId="0" xfId="0" applyNumberFormat="1" applyFont="1" applyAlignment="1">
      <alignment horizontal="center" vertical="center"/>
    </xf>
    <xf numFmtId="11" fontId="11" fillId="0" borderId="1" xfId="0" applyNumberFormat="1" applyFont="1" applyBorder="1" applyAlignment="1">
      <alignment horizontal="center" vertical="center"/>
    </xf>
    <xf numFmtId="11" fontId="24" fillId="0" borderId="0" xfId="12" applyNumberFormat="1" applyFont="1" applyFill="1" applyBorder="1" applyAlignment="1">
      <alignment horizontal="center" vertical="center"/>
    </xf>
    <xf numFmtId="11" fontId="24" fillId="0" borderId="0" xfId="13" applyNumberFormat="1" applyFont="1" applyFill="1" applyBorder="1" applyAlignment="1">
      <alignment horizontal="center" vertical="center"/>
    </xf>
    <xf numFmtId="10" fontId="0" fillId="0" borderId="14" xfId="1" applyNumberFormat="1" applyFont="1" applyFill="1" applyBorder="1" applyAlignment="1">
      <alignment horizontal="center" vertical="center"/>
    </xf>
    <xf numFmtId="0" fontId="20" fillId="0" borderId="4" xfId="0" applyFont="1" applyBorder="1" applyAlignment="1">
      <alignment horizontal="center" vertical="center"/>
    </xf>
    <xf numFmtId="164" fontId="0" fillId="0" borderId="4" xfId="0" applyNumberFormat="1" applyBorder="1" applyAlignment="1">
      <alignment horizontal="center" vertical="center"/>
    </xf>
    <xf numFmtId="0" fontId="11" fillId="0" borderId="8" xfId="0" applyFont="1" applyBorder="1" applyAlignment="1">
      <alignment horizontal="center" vertical="center" wrapText="1"/>
    </xf>
    <xf numFmtId="0" fontId="26" fillId="0" borderId="8" xfId="4" applyFont="1" applyFill="1" applyBorder="1" applyAlignment="1">
      <alignment vertical="center" wrapText="1"/>
    </xf>
    <xf numFmtId="10" fontId="0" fillId="0" borderId="6" xfId="0" applyNumberFormat="1" applyBorder="1" applyAlignment="1">
      <alignment horizontal="center" vertical="center"/>
    </xf>
    <xf numFmtId="0" fontId="10" fillId="0" borderId="8" xfId="0" applyFont="1" applyBorder="1" applyAlignment="1">
      <alignment horizontal="center" vertical="center"/>
    </xf>
    <xf numFmtId="0" fontId="20" fillId="0" borderId="7" xfId="0" applyFont="1" applyBorder="1" applyAlignment="1">
      <alignment horizontal="left" vertical="center" wrapText="1"/>
    </xf>
    <xf numFmtId="2" fontId="0" fillId="0" borderId="8" xfId="0" applyNumberFormat="1" applyBorder="1" applyAlignment="1">
      <alignment vertical="center" wrapText="1"/>
    </xf>
    <xf numFmtId="2" fontId="0" fillId="0" borderId="14" xfId="0" applyNumberFormat="1" applyBorder="1" applyAlignment="1">
      <alignment vertical="center" wrapText="1"/>
    </xf>
    <xf numFmtId="0" fontId="18" fillId="5" borderId="5" xfId="0" applyFont="1" applyFill="1" applyBorder="1" applyAlignment="1">
      <alignment horizontal="center" vertical="center" wrapText="1"/>
    </xf>
    <xf numFmtId="2" fontId="11" fillId="0" borderId="14" xfId="0" applyNumberFormat="1" applyFont="1" applyBorder="1" applyAlignment="1">
      <alignment horizontal="center" vertical="center"/>
    </xf>
    <xf numFmtId="2" fontId="11" fillId="0" borderId="6" xfId="0" applyNumberFormat="1" applyFont="1" applyBorder="1" applyAlignment="1">
      <alignment horizontal="center" vertical="center"/>
    </xf>
    <xf numFmtId="166" fontId="11" fillId="0" borderId="0" xfId="0" applyNumberFormat="1" applyFont="1" applyAlignment="1">
      <alignment horizontal="center" vertical="center"/>
    </xf>
    <xf numFmtId="167" fontId="11" fillId="0" borderId="0" xfId="0" applyNumberFormat="1" applyFont="1" applyAlignment="1">
      <alignment horizontal="center" vertical="center"/>
    </xf>
    <xf numFmtId="0" fontId="11" fillId="0" borderId="6" xfId="0" applyFont="1" applyBorder="1" applyAlignment="1">
      <alignment horizontal="center" vertical="center"/>
    </xf>
    <xf numFmtId="0" fontId="11" fillId="0" borderId="9" xfId="0" quotePrefix="1" applyFont="1" applyBorder="1" applyAlignment="1">
      <alignment horizontal="center" vertical="center"/>
    </xf>
    <xf numFmtId="2" fontId="11" fillId="0" borderId="5" xfId="0" applyNumberFormat="1" applyFont="1" applyBorder="1" applyAlignment="1">
      <alignment horizontal="center" vertical="center"/>
    </xf>
    <xf numFmtId="0" fontId="11" fillId="0" borderId="7" xfId="0" applyFont="1" applyBorder="1" applyAlignment="1">
      <alignment horizontal="center" vertical="center"/>
    </xf>
    <xf numFmtId="11" fontId="11" fillId="0" borderId="8" xfId="0" applyNumberFormat="1" applyFont="1" applyBorder="1" applyAlignment="1">
      <alignment horizontal="center" vertical="center"/>
    </xf>
    <xf numFmtId="11" fontId="11" fillId="0" borderId="6" xfId="0" applyNumberFormat="1" applyFont="1" applyBorder="1" applyAlignment="1">
      <alignment horizontal="center" vertical="center"/>
    </xf>
    <xf numFmtId="0" fontId="0" fillId="0" borderId="15" xfId="0" applyBorder="1" applyAlignment="1">
      <alignment horizontal="left" vertical="center" wrapText="1"/>
    </xf>
    <xf numFmtId="0" fontId="11" fillId="0" borderId="15" xfId="0" applyFont="1" applyBorder="1" applyAlignment="1">
      <alignmen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2" fillId="0" borderId="6" xfId="0" applyFont="1" applyBorder="1" applyAlignment="1">
      <alignment horizontal="left" vertical="center" wrapText="1"/>
    </xf>
    <xf numFmtId="0" fontId="45" fillId="0" borderId="4" xfId="0" applyFont="1" applyBorder="1" applyAlignment="1">
      <alignment vertical="center" wrapText="1"/>
    </xf>
    <xf numFmtId="0" fontId="0" fillId="0" borderId="6" xfId="8" applyFont="1" applyBorder="1" applyAlignment="1">
      <alignment vertical="center" wrapText="1"/>
    </xf>
    <xf numFmtId="0" fontId="0" fillId="0" borderId="4" xfId="8" applyFont="1" applyBorder="1" applyAlignment="1">
      <alignment vertical="center" wrapText="1"/>
    </xf>
    <xf numFmtId="0" fontId="0" fillId="0" borderId="8" xfId="8" applyFont="1" applyBorder="1" applyAlignment="1">
      <alignment vertical="center" wrapText="1"/>
    </xf>
    <xf numFmtId="0" fontId="0" fillId="0" borderId="9" xfId="8" applyFont="1" applyBorder="1" applyAlignment="1">
      <alignment vertical="center" wrapText="1"/>
    </xf>
    <xf numFmtId="0" fontId="14" fillId="0" borderId="11" xfId="8" applyFont="1" applyBorder="1" applyAlignment="1">
      <alignment vertical="center" wrapText="1"/>
    </xf>
    <xf numFmtId="0" fontId="0" fillId="0" borderId="12" xfId="8" applyFont="1" applyBorder="1" applyAlignment="1">
      <alignment vertical="center" wrapText="1"/>
    </xf>
    <xf numFmtId="0" fontId="14" fillId="0" borderId="12" xfId="8" applyFont="1" applyBorder="1" applyAlignment="1">
      <alignment vertical="center" wrapText="1"/>
    </xf>
    <xf numFmtId="0" fontId="14" fillId="0" borderId="13" xfId="8" applyFont="1" applyBorder="1" applyAlignment="1">
      <alignment vertical="center" wrapText="1"/>
    </xf>
    <xf numFmtId="2" fontId="0" fillId="0" borderId="35" xfId="0" applyNumberFormat="1" applyBorder="1" applyAlignment="1">
      <alignment horizontal="center" vertical="center"/>
    </xf>
    <xf numFmtId="9" fontId="35" fillId="0" borderId="0" xfId="1" applyFont="1" applyAlignment="1">
      <alignment horizontal="center" vertical="center"/>
    </xf>
    <xf numFmtId="0" fontId="0" fillId="0" borderId="0" xfId="0" applyAlignment="1">
      <alignment horizontal="left"/>
    </xf>
    <xf numFmtId="166" fontId="0" fillId="0" borderId="4" xfId="1" applyNumberFormat="1" applyFont="1" applyFill="1" applyBorder="1" applyAlignment="1">
      <alignment horizontal="center" vertical="center"/>
    </xf>
    <xf numFmtId="166" fontId="0" fillId="0" borderId="8" xfId="1" applyNumberFormat="1" applyFont="1" applyFill="1" applyBorder="1" applyAlignment="1">
      <alignment horizontal="center" vertical="center"/>
    </xf>
    <xf numFmtId="166" fontId="0" fillId="0" borderId="0" xfId="1" applyNumberFormat="1" applyFont="1" applyFill="1" applyBorder="1" applyAlignment="1">
      <alignment horizontal="center" vertical="center"/>
    </xf>
    <xf numFmtId="166" fontId="0" fillId="0" borderId="0" xfId="0" applyNumberFormat="1"/>
    <xf numFmtId="171" fontId="0" fillId="0" borderId="8" xfId="0" applyNumberFormat="1" applyBorder="1" applyAlignment="1">
      <alignment horizontal="center" vertical="center"/>
    </xf>
    <xf numFmtId="171" fontId="0" fillId="0" borderId="14" xfId="0" applyNumberFormat="1" applyBorder="1" applyAlignment="1">
      <alignment horizontal="center" vertical="center"/>
    </xf>
    <xf numFmtId="171" fontId="0" fillId="0" borderId="6" xfId="0" applyNumberFormat="1" applyBorder="1" applyAlignment="1">
      <alignment horizontal="center" vertical="center"/>
    </xf>
    <xf numFmtId="171" fontId="0" fillId="0" borderId="0" xfId="0" applyNumberFormat="1"/>
    <xf numFmtId="167" fontId="25" fillId="0" borderId="4" xfId="8" applyNumberFormat="1" applyFont="1" applyBorder="1" applyAlignment="1">
      <alignment horizontal="center" vertical="center" shrinkToFit="1"/>
    </xf>
    <xf numFmtId="0" fontId="3" fillId="0" borderId="0" xfId="8" applyFont="1" applyAlignment="1">
      <alignment vertical="center"/>
    </xf>
    <xf numFmtId="9" fontId="0" fillId="0" borderId="6" xfId="1" applyFont="1" applyFill="1" applyBorder="1" applyAlignment="1">
      <alignment horizontal="center" vertical="center"/>
    </xf>
    <xf numFmtId="167" fontId="11" fillId="0" borderId="8" xfId="0" applyNumberFormat="1" applyFont="1" applyBorder="1" applyAlignment="1">
      <alignment horizontal="center" vertical="center"/>
    </xf>
    <xf numFmtId="0" fontId="11" fillId="0" borderId="41" xfId="0" applyFont="1" applyBorder="1" applyAlignment="1">
      <alignment vertical="center"/>
    </xf>
    <xf numFmtId="0" fontId="11" fillId="0" borderId="13" xfId="0" applyFont="1" applyBorder="1" applyAlignment="1">
      <alignment vertical="center"/>
    </xf>
    <xf numFmtId="0" fontId="11" fillId="0" borderId="0" xfId="0" applyFont="1" applyAlignment="1">
      <alignment vertical="center" wrapText="1"/>
    </xf>
    <xf numFmtId="0" fontId="26" fillId="0" borderId="5" xfId="4" applyFont="1" applyFill="1" applyBorder="1" applyAlignment="1">
      <alignment vertical="center" wrapText="1"/>
    </xf>
    <xf numFmtId="171" fontId="11" fillId="0" borderId="8" xfId="0" applyNumberFormat="1" applyFont="1" applyBorder="1" applyAlignment="1">
      <alignment horizontal="center" vertical="center"/>
    </xf>
    <xf numFmtId="0" fontId="11" fillId="0" borderId="9" xfId="0" applyFont="1" applyBorder="1" applyAlignment="1">
      <alignment vertical="center" wrapText="1"/>
    </xf>
    <xf numFmtId="171" fontId="11" fillId="0" borderId="0" xfId="0" applyNumberFormat="1" applyFont="1" applyAlignment="1">
      <alignment horizontal="center" vertical="center"/>
    </xf>
    <xf numFmtId="2" fontId="0" fillId="0" borderId="1" xfId="0" applyNumberFormat="1" applyBorder="1" applyAlignment="1">
      <alignment horizontal="center" vertical="center"/>
    </xf>
    <xf numFmtId="0" fontId="0" fillId="0" borderId="1" xfId="0" applyBorder="1" applyAlignment="1">
      <alignment horizontal="center" vertical="center"/>
    </xf>
    <xf numFmtId="171" fontId="11" fillId="0" borderId="1" xfId="0" applyNumberFormat="1" applyFont="1" applyBorder="1" applyAlignment="1">
      <alignment horizontal="center" vertical="center"/>
    </xf>
    <xf numFmtId="0" fontId="11" fillId="0" borderId="31" xfId="0" applyFont="1" applyBorder="1" applyAlignment="1">
      <alignment vertical="center"/>
    </xf>
    <xf numFmtId="0" fontId="0" fillId="0" borderId="31" xfId="0" applyBorder="1" applyAlignment="1">
      <alignment vertical="center"/>
    </xf>
    <xf numFmtId="11" fontId="0" fillId="0" borderId="0" xfId="0" applyNumberFormat="1" applyAlignment="1">
      <alignment horizontal="right"/>
    </xf>
    <xf numFmtId="0" fontId="0" fillId="0" borderId="0" xfId="0" applyAlignment="1">
      <alignment horizontal="right" wrapText="1"/>
    </xf>
    <xf numFmtId="10" fontId="0" fillId="0" borderId="0" xfId="0" applyNumberFormat="1"/>
    <xf numFmtId="2" fontId="0" fillId="0" borderId="6" xfId="0" applyNumberFormat="1" applyBorder="1" applyAlignment="1">
      <alignment vertical="center" wrapText="1"/>
    </xf>
    <xf numFmtId="0" fontId="9" fillId="0" borderId="14" xfId="0" applyFont="1" applyBorder="1" applyAlignment="1">
      <alignment horizontal="center" vertical="center" wrapText="1"/>
    </xf>
    <xf numFmtId="2" fontId="0" fillId="0" borderId="9" xfId="0" applyNumberFormat="1" applyBorder="1" applyAlignment="1">
      <alignment vertical="center" wrapText="1"/>
    </xf>
    <xf numFmtId="0" fontId="46" fillId="0" borderId="0" xfId="0" quotePrefix="1" applyFont="1"/>
    <xf numFmtId="11" fontId="0" fillId="0" borderId="0" xfId="1" applyNumberFormat="1" applyFont="1" applyAlignment="1">
      <alignment horizontal="center" vertical="center" wrapText="1"/>
    </xf>
    <xf numFmtId="164" fontId="0" fillId="0" borderId="0" xfId="1" applyNumberFormat="1" applyFont="1" applyAlignment="1">
      <alignment horizontal="center" vertical="center"/>
    </xf>
    <xf numFmtId="0" fontId="2" fillId="0" borderId="0" xfId="18"/>
    <xf numFmtId="0" fontId="49" fillId="0" borderId="0" xfId="18" applyFont="1"/>
    <xf numFmtId="0" fontId="2" fillId="0" borderId="0" xfId="18" applyAlignment="1">
      <alignment vertical="center" wrapText="1"/>
    </xf>
    <xf numFmtId="9" fontId="0" fillId="0" borderId="0" xfId="19" applyFont="1"/>
    <xf numFmtId="0" fontId="50" fillId="0" borderId="0" xfId="18" applyFont="1"/>
    <xf numFmtId="2" fontId="2" fillId="0" borderId="0" xfId="18" applyNumberFormat="1"/>
    <xf numFmtId="0" fontId="48" fillId="0" borderId="0" xfId="18" applyFont="1"/>
    <xf numFmtId="2" fontId="2" fillId="0" borderId="32" xfId="18" applyNumberFormat="1" applyBorder="1" applyAlignment="1">
      <alignment horizontal="center"/>
    </xf>
    <xf numFmtId="0" fontId="2" fillId="0" borderId="32" xfId="18" applyBorder="1" applyAlignment="1">
      <alignment horizontal="left" vertical="center"/>
    </xf>
    <xf numFmtId="11" fontId="2" fillId="0" borderId="0" xfId="18" applyNumberFormat="1"/>
    <xf numFmtId="0" fontId="2" fillId="0" borderId="35" xfId="18" applyBorder="1"/>
    <xf numFmtId="2" fontId="50" fillId="0" borderId="0" xfId="18" applyNumberFormat="1" applyFont="1"/>
    <xf numFmtId="2" fontId="24" fillId="0" borderId="0" xfId="17" applyNumberFormat="1" applyFont="1" applyFill="1"/>
    <xf numFmtId="0" fontId="24" fillId="0" borderId="0" xfId="17" applyFont="1" applyFill="1"/>
    <xf numFmtId="0" fontId="24" fillId="0" borderId="0" xfId="18" applyFont="1"/>
    <xf numFmtId="9" fontId="0" fillId="0" borderId="1" xfId="1" applyFont="1" applyFill="1" applyBorder="1" applyAlignment="1">
      <alignment horizontal="center" vertical="center"/>
    </xf>
    <xf numFmtId="9" fontId="0" fillId="0" borderId="40" xfId="1" applyFont="1" applyFill="1" applyBorder="1" applyAlignment="1">
      <alignment horizontal="center" vertical="center"/>
    </xf>
    <xf numFmtId="9" fontId="0" fillId="0" borderId="0" xfId="1" applyFont="1" applyFill="1"/>
    <xf numFmtId="0" fontId="0" fillId="0" borderId="1" xfId="0" applyBorder="1" applyAlignment="1">
      <alignment horizontal="center" vertical="center" wrapText="1"/>
    </xf>
    <xf numFmtId="0" fontId="11" fillId="0" borderId="0" xfId="0" applyFont="1" applyAlignment="1">
      <alignment horizontal="left" vertical="center" wrapText="1"/>
    </xf>
    <xf numFmtId="0" fontId="11" fillId="0" borderId="1" xfId="0" applyFont="1" applyBorder="1" applyAlignment="1">
      <alignment horizontal="left" vertical="center" wrapText="1"/>
    </xf>
    <xf numFmtId="0" fontId="0" fillId="0" borderId="8" xfId="0" applyBorder="1" applyAlignment="1">
      <alignment horizontal="center" vertical="center" wrapText="1"/>
    </xf>
    <xf numFmtId="177" fontId="0" fillId="0" borderId="4" xfId="0" applyNumberFormat="1" applyBorder="1" applyAlignment="1">
      <alignment horizontal="center" vertical="center"/>
    </xf>
    <xf numFmtId="173" fontId="0" fillId="0" borderId="4" xfId="0" applyNumberFormat="1" applyBorder="1" applyAlignment="1">
      <alignment vertical="center" wrapText="1"/>
    </xf>
    <xf numFmtId="165" fontId="0" fillId="0" borderId="4" xfId="0" applyNumberFormat="1" applyBorder="1" applyAlignment="1">
      <alignment horizontal="center" vertical="center"/>
    </xf>
    <xf numFmtId="165" fontId="11" fillId="0" borderId="14" xfId="0" applyNumberFormat="1" applyFont="1" applyBorder="1" applyAlignment="1">
      <alignment horizontal="center" vertical="center"/>
    </xf>
    <xf numFmtId="165" fontId="20" fillId="0" borderId="6" xfId="0" applyNumberFormat="1" applyFont="1" applyBorder="1" applyAlignment="1">
      <alignment horizontal="center" vertical="center"/>
    </xf>
    <xf numFmtId="165" fontId="0" fillId="0" borderId="6" xfId="0" applyNumberFormat="1" applyBorder="1" applyAlignment="1">
      <alignment horizontal="center" vertical="center"/>
    </xf>
    <xf numFmtId="0" fontId="20" fillId="0" borderId="6" xfId="0" quotePrefix="1" applyFont="1" applyBorder="1" applyAlignment="1">
      <alignment horizontal="left" vertical="center" wrapText="1"/>
    </xf>
    <xf numFmtId="0" fontId="40" fillId="0" borderId="0" xfId="0" applyFont="1" applyAlignment="1">
      <alignment vertical="center" wrapText="1"/>
    </xf>
    <xf numFmtId="0" fontId="35" fillId="0" borderId="4" xfId="0" applyFont="1" applyBorder="1" applyAlignment="1">
      <alignment horizontal="center" vertical="center"/>
    </xf>
    <xf numFmtId="0" fontId="0" fillId="0" borderId="8" xfId="0" applyBorder="1"/>
    <xf numFmtId="0" fontId="24" fillId="0" borderId="5" xfId="4" applyFont="1" applyFill="1" applyBorder="1" applyAlignment="1">
      <alignment vertical="center" wrapText="1"/>
    </xf>
    <xf numFmtId="0" fontId="11" fillId="0" borderId="9" xfId="0" applyFont="1" applyBorder="1" applyAlignment="1">
      <alignment vertical="center"/>
    </xf>
    <xf numFmtId="0" fontId="24" fillId="0" borderId="9" xfId="4" applyFont="1" applyFill="1" applyBorder="1" applyAlignment="1">
      <alignment vertical="center" wrapText="1"/>
    </xf>
    <xf numFmtId="166" fontId="0" fillId="0" borderId="4" xfId="0" applyNumberFormat="1" applyBorder="1" applyAlignment="1">
      <alignment vertical="center" wrapText="1"/>
    </xf>
    <xf numFmtId="178" fontId="0" fillId="0" borderId="0" xfId="0" applyNumberFormat="1" applyAlignment="1">
      <alignment horizontal="center" vertical="center"/>
    </xf>
    <xf numFmtId="0" fontId="7" fillId="0" borderId="9" xfId="8" applyBorder="1" applyAlignment="1">
      <alignment vertical="center"/>
    </xf>
    <xf numFmtId="167" fontId="0" fillId="0" borderId="4" xfId="0" applyNumberFormat="1" applyBorder="1" applyAlignment="1">
      <alignment horizontal="left" vertical="center" wrapText="1"/>
    </xf>
    <xf numFmtId="0" fontId="0" fillId="0" borderId="0" xfId="0" applyAlignment="1">
      <alignment horizontal="left" wrapText="1"/>
    </xf>
    <xf numFmtId="175" fontId="0" fillId="0" borderId="0" xfId="0" applyNumberFormat="1" applyAlignment="1">
      <alignment horizontal="left" wrapText="1"/>
    </xf>
    <xf numFmtId="0" fontId="5" fillId="0" borderId="4" xfId="8" applyFont="1" applyBorder="1" applyAlignment="1">
      <alignment vertical="center" wrapText="1"/>
    </xf>
    <xf numFmtId="166" fontId="11" fillId="0" borderId="14" xfId="0" applyNumberFormat="1" applyFont="1" applyBorder="1" applyAlignment="1">
      <alignment horizontal="center" vertical="center"/>
    </xf>
    <xf numFmtId="0" fontId="1" fillId="0" borderId="0" xfId="18" applyFont="1"/>
    <xf numFmtId="11" fontId="0" fillId="0" borderId="40" xfId="0" applyNumberFormat="1" applyBorder="1" applyAlignment="1">
      <alignment horizontal="center" vertical="center"/>
    </xf>
    <xf numFmtId="0" fontId="12" fillId="0" borderId="0" xfId="0" applyFont="1" applyAlignment="1">
      <alignment horizontal="left" wrapText="1"/>
    </xf>
    <xf numFmtId="0" fontId="16" fillId="0" borderId="4" xfId="3" applyBorder="1" applyAlignment="1">
      <alignment horizontal="left" vertical="center" wrapText="1"/>
    </xf>
    <xf numFmtId="0" fontId="0" fillId="7" borderId="4" xfId="0" applyFill="1" applyBorder="1" applyAlignment="1">
      <alignment wrapText="1"/>
    </xf>
    <xf numFmtId="0" fontId="0" fillId="0" borderId="32" xfId="0" applyBorder="1" applyAlignment="1">
      <alignment horizontal="center" vertical="center"/>
    </xf>
    <xf numFmtId="167" fontId="0" fillId="0" borderId="32" xfId="0" applyNumberFormat="1" applyBorder="1" applyAlignment="1">
      <alignment horizontal="center"/>
    </xf>
    <xf numFmtId="2" fontId="32" fillId="0" borderId="22" xfId="12" applyNumberFormat="1" applyAlignment="1">
      <alignment horizontal="center" vertical="center"/>
    </xf>
    <xf numFmtId="11" fontId="0" fillId="0" borderId="0" xfId="0" applyNumberFormat="1" applyAlignment="1">
      <alignment horizontal="center" vertical="top" wrapText="1"/>
    </xf>
    <xf numFmtId="11" fontId="0" fillId="0" borderId="0" xfId="0" applyNumberFormat="1" applyAlignment="1">
      <alignment wrapText="1"/>
    </xf>
    <xf numFmtId="0" fontId="18" fillId="0" borderId="43" xfId="0" quotePrefix="1" applyFon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33" xfId="0" applyBorder="1" applyAlignment="1">
      <alignment horizontal="center" vertical="center"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11" fillId="0" borderId="0" xfId="0" applyFont="1" applyAlignment="1">
      <alignment horizontal="left" vertical="center" wrapText="1"/>
    </xf>
    <xf numFmtId="0" fontId="11" fillId="0" borderId="1" xfId="0" applyFont="1" applyBorder="1" applyAlignment="1">
      <alignment horizontal="left" vertical="center" wrapText="1"/>
    </xf>
    <xf numFmtId="0" fontId="0" fillId="0" borderId="8" xfId="0" applyBorder="1" applyAlignment="1">
      <alignment horizontal="left" vertical="center" wrapText="1"/>
    </xf>
    <xf numFmtId="0" fontId="0" fillId="0" borderId="14" xfId="0" applyBorder="1" applyAlignment="1">
      <alignment horizontal="left" vertical="center" wrapText="1"/>
    </xf>
    <xf numFmtId="0" fontId="0" fillId="0" borderId="6" xfId="0" applyBorder="1" applyAlignment="1">
      <alignment horizontal="left" vertical="center" wrapText="1"/>
    </xf>
    <xf numFmtId="2" fontId="11" fillId="0" borderId="8" xfId="0" applyNumberFormat="1" applyFont="1" applyBorder="1" applyAlignment="1">
      <alignment horizontal="left" vertical="center" wrapText="1"/>
    </xf>
    <xf numFmtId="2" fontId="11" fillId="0" borderId="14" xfId="0" applyNumberFormat="1" applyFont="1" applyBorder="1" applyAlignment="1">
      <alignment horizontal="left" vertical="center" wrapText="1"/>
    </xf>
    <xf numFmtId="2" fontId="11" fillId="0" borderId="6" xfId="0" applyNumberFormat="1" applyFont="1" applyBorder="1" applyAlignment="1">
      <alignment horizontal="left" vertical="center" wrapText="1"/>
    </xf>
    <xf numFmtId="0" fontId="0" fillId="0" borderId="6" xfId="0" applyBorder="1" applyAlignment="1">
      <alignment horizontal="center"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11" fillId="0" borderId="8" xfId="0" applyFont="1" applyBorder="1" applyAlignment="1">
      <alignment horizontal="left" vertical="center" wrapText="1"/>
    </xf>
    <xf numFmtId="0" fontId="11" fillId="0" borderId="6" xfId="0" applyFont="1" applyBorder="1" applyAlignment="1">
      <alignment horizontal="left" vertical="center" wrapText="1"/>
    </xf>
    <xf numFmtId="0" fontId="0" fillId="0" borderId="8"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1" xfId="0" applyBorder="1" applyAlignment="1">
      <alignment horizontal="center" vertical="center"/>
    </xf>
    <xf numFmtId="0" fontId="9" fillId="5" borderId="42" xfId="0" applyFont="1" applyFill="1" applyBorder="1" applyAlignment="1">
      <alignment horizontal="left" vertical="center" wrapText="1"/>
    </xf>
    <xf numFmtId="0" fontId="9" fillId="5" borderId="0" xfId="0" applyFont="1" applyFill="1" applyAlignment="1">
      <alignment horizontal="left" vertical="center" wrapText="1"/>
    </xf>
    <xf numFmtId="0" fontId="11" fillId="0" borderId="8" xfId="0" applyFont="1" applyBorder="1" applyAlignment="1">
      <alignment horizontal="left" vertical="center"/>
    </xf>
    <xf numFmtId="0" fontId="11" fillId="0" borderId="6" xfId="0" applyFont="1" applyBorder="1" applyAlignment="1">
      <alignment horizontal="left" vertical="center"/>
    </xf>
    <xf numFmtId="0" fontId="12" fillId="0" borderId="36" xfId="0" applyFont="1" applyBorder="1" applyAlignment="1">
      <alignment horizontal="center"/>
    </xf>
    <xf numFmtId="0" fontId="12" fillId="0" borderId="2" xfId="0" applyFont="1" applyBorder="1" applyAlignment="1">
      <alignment horizontal="center"/>
    </xf>
    <xf numFmtId="0" fontId="17" fillId="0" borderId="0" xfId="0" applyFont="1" applyAlignment="1">
      <alignment horizontal="left" vertical="center" wrapText="1"/>
    </xf>
  </cellXfs>
  <cellStyles count="22">
    <cellStyle name="Bad" xfId="17" builtinId="27"/>
    <cellStyle name="Bad 2" xfId="20" xr:uid="{00000000-0005-0000-0000-000001000000}"/>
    <cellStyle name="Check Cell" xfId="13" builtinId="23"/>
    <cellStyle name="Explanatory Text" xfId="4" builtinId="53"/>
    <cellStyle name="Hyperlink" xfId="3" builtinId="8"/>
    <cellStyle name="Hyperlink 2" xfId="16" xr:uid="{00000000-0005-0000-0000-000005000000}"/>
    <cellStyle name="Linked Cell" xfId="12" builtinId="24"/>
    <cellStyle name="Neutral 2" xfId="21" xr:uid="{00000000-0005-0000-0000-000007000000}"/>
    <cellStyle name="Normal" xfId="0" builtinId="0"/>
    <cellStyle name="Normal 2" xfId="5" xr:uid="{00000000-0005-0000-0000-000009000000}"/>
    <cellStyle name="Normal 3" xfId="2" xr:uid="{00000000-0005-0000-0000-00000A000000}"/>
    <cellStyle name="Normal 4" xfId="6" xr:uid="{00000000-0005-0000-0000-00000B000000}"/>
    <cellStyle name="Normal 5" xfId="8" xr:uid="{00000000-0005-0000-0000-00000C000000}"/>
    <cellStyle name="Normal 6" xfId="9" xr:uid="{00000000-0005-0000-0000-00000D000000}"/>
    <cellStyle name="Normal 7" xfId="14" xr:uid="{00000000-0005-0000-0000-00000E000000}"/>
    <cellStyle name="Normal 8" xfId="18" xr:uid="{00000000-0005-0000-0000-00000F000000}"/>
    <cellStyle name="Percent" xfId="1" builtinId="5"/>
    <cellStyle name="Percent 2" xfId="7" xr:uid="{00000000-0005-0000-0000-000011000000}"/>
    <cellStyle name="Percent 3" xfId="15" xr:uid="{00000000-0005-0000-0000-000012000000}"/>
    <cellStyle name="Percent 4" xfId="19" xr:uid="{00000000-0005-0000-0000-000013000000}"/>
    <cellStyle name="wissenschaft" xfId="10" xr:uid="{00000000-0005-0000-0000-000014000000}"/>
    <cellStyle name="wissenschaft+" xfId="11" xr:uid="{00000000-0005-0000-0000-000015000000}"/>
  </cellStyles>
  <dxfs count="0"/>
  <tableStyles count="0" defaultTableStyle="TableStyleMedium9" defaultPivotStyle="PivotStyleLight16"/>
  <colors>
    <mruColors>
      <color rgb="FFFFD85B"/>
      <color rgb="FFFFFFCC"/>
      <color rgb="FFFFCC66"/>
      <color rgb="FF996633"/>
      <color rgb="FF3BAAD7"/>
      <color rgb="FF009242"/>
      <color rgb="FF00CC99"/>
      <color rgb="FF00CC66"/>
      <color rgb="FFFF7575"/>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080268120401241"/>
          <c:y val="8.1647901084661842E-2"/>
          <c:w val="0.77403540017341121"/>
          <c:h val="0.8282531218518342"/>
        </c:manualLayout>
      </c:layout>
      <c:barChart>
        <c:barDir val="bar"/>
        <c:grouping val="clustered"/>
        <c:varyColors val="0"/>
        <c:ser>
          <c:idx val="0"/>
          <c:order val="0"/>
          <c:tx>
            <c:strRef>
              <c:f>'Results LCIA_cf. literature'!$B$5</c:f>
              <c:strCache>
                <c:ptCount val="1"/>
                <c:pt idx="0">
                  <c:v>kg CO2 eq/kWh</c:v>
                </c:pt>
              </c:strCache>
            </c:strRef>
          </c:tx>
          <c:spPr>
            <a:solidFill>
              <a:schemeClr val="accent1"/>
            </a:solidFill>
            <a:ln>
              <a:noFill/>
            </a:ln>
            <a:effectLst/>
          </c:spPr>
          <c:invertIfNegative val="0"/>
          <c:dPt>
            <c:idx val="0"/>
            <c:invertIfNegative val="0"/>
            <c:bubble3D val="0"/>
            <c:spPr>
              <a:pattFill prst="ltDnDiag">
                <a:fgClr>
                  <a:schemeClr val="accent1"/>
                </a:fgClr>
                <a:bgClr>
                  <a:schemeClr val="bg1"/>
                </a:bgClr>
              </a:pattFill>
              <a:ln>
                <a:solidFill>
                  <a:schemeClr val="accent1"/>
                </a:solidFill>
              </a:ln>
              <a:effectLst/>
            </c:spPr>
            <c:extLst>
              <c:ext xmlns:c16="http://schemas.microsoft.com/office/drawing/2014/chart" uri="{C3380CC4-5D6E-409C-BE32-E72D297353CC}">
                <c16:uniqueId val="{00000020-EA14-4AD4-8774-60EA071543A2}"/>
              </c:ext>
            </c:extLst>
          </c:dPt>
          <c:dPt>
            <c:idx val="1"/>
            <c:invertIfNegative val="0"/>
            <c:bubble3D val="0"/>
            <c:spPr>
              <a:pattFill prst="ltDnDiag">
                <a:fgClr>
                  <a:schemeClr val="accent6"/>
                </a:fgClr>
                <a:bgClr>
                  <a:schemeClr val="bg1"/>
                </a:bgClr>
              </a:pattFill>
              <a:ln>
                <a:solidFill>
                  <a:schemeClr val="accent6"/>
                </a:solidFill>
              </a:ln>
              <a:effectLst/>
            </c:spPr>
            <c:extLst>
              <c:ext xmlns:c16="http://schemas.microsoft.com/office/drawing/2014/chart" uri="{C3380CC4-5D6E-409C-BE32-E72D297353CC}">
                <c16:uniqueId val="{00000027-AA87-4C34-8183-1D77DD60BA08}"/>
              </c:ext>
            </c:extLst>
          </c:dPt>
          <c:dPt>
            <c:idx val="2"/>
            <c:invertIfNegative val="0"/>
            <c:bubble3D val="0"/>
            <c:spPr>
              <a:pattFill prst="ltDnDiag">
                <a:fgClr>
                  <a:schemeClr val="bg1">
                    <a:lumMod val="75000"/>
                  </a:schemeClr>
                </a:fgClr>
                <a:bgClr>
                  <a:schemeClr val="bg1"/>
                </a:bgClr>
              </a:pattFill>
              <a:ln>
                <a:solidFill>
                  <a:schemeClr val="bg1">
                    <a:lumMod val="65000"/>
                  </a:schemeClr>
                </a:solidFill>
              </a:ln>
              <a:effectLst/>
            </c:spPr>
            <c:extLst>
              <c:ext xmlns:c16="http://schemas.microsoft.com/office/drawing/2014/chart" uri="{C3380CC4-5D6E-409C-BE32-E72D297353CC}">
                <c16:uniqueId val="{0000002E-AA87-4C34-8183-1D77DD60BA08}"/>
              </c:ext>
            </c:extLst>
          </c:dPt>
          <c:dPt>
            <c:idx val="3"/>
            <c:invertIfNegative val="0"/>
            <c:bubble3D val="0"/>
            <c:spPr>
              <a:solidFill>
                <a:srgbClr val="0070C0"/>
              </a:solidFill>
              <a:ln>
                <a:noFill/>
              </a:ln>
              <a:effectLst/>
            </c:spPr>
            <c:extLst>
              <c:ext xmlns:c16="http://schemas.microsoft.com/office/drawing/2014/chart" uri="{C3380CC4-5D6E-409C-BE32-E72D297353CC}">
                <c16:uniqueId val="{00000035-AA87-4C34-8183-1D77DD60BA08}"/>
              </c:ext>
            </c:extLst>
          </c:dPt>
          <c:dPt>
            <c:idx val="4"/>
            <c:invertIfNegative val="0"/>
            <c:bubble3D val="0"/>
            <c:spPr>
              <a:solidFill>
                <a:schemeClr val="accent6"/>
              </a:solidFill>
              <a:ln>
                <a:noFill/>
              </a:ln>
              <a:effectLst/>
            </c:spPr>
            <c:extLst>
              <c:ext xmlns:c16="http://schemas.microsoft.com/office/drawing/2014/chart" uri="{C3380CC4-5D6E-409C-BE32-E72D297353CC}">
                <c16:uniqueId val="{00000040-AA87-4C34-8183-1D77DD60BA08}"/>
              </c:ext>
            </c:extLst>
          </c:dPt>
          <c:dPt>
            <c:idx val="5"/>
            <c:invertIfNegative val="0"/>
            <c:bubble3D val="0"/>
            <c:spPr>
              <a:solidFill>
                <a:schemeClr val="bg1">
                  <a:lumMod val="65000"/>
                </a:schemeClr>
              </a:solidFill>
              <a:ln>
                <a:noFill/>
              </a:ln>
              <a:effectLst/>
            </c:spPr>
            <c:extLst>
              <c:ext xmlns:c16="http://schemas.microsoft.com/office/drawing/2014/chart" uri="{C3380CC4-5D6E-409C-BE32-E72D297353CC}">
                <c16:uniqueId val="{00000046-AA87-4C34-8183-1D77DD60BA08}"/>
              </c:ext>
            </c:extLst>
          </c:dPt>
          <c:dPt>
            <c:idx val="6"/>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4B-AA87-4C34-8183-1D77DD60BA08}"/>
              </c:ext>
            </c:extLst>
          </c:dPt>
          <c:dPt>
            <c:idx val="7"/>
            <c:invertIfNegative val="0"/>
            <c:bubble3D val="0"/>
            <c:spPr>
              <a:solidFill>
                <a:srgbClr val="FFCC66"/>
              </a:solidFill>
              <a:ln>
                <a:noFill/>
              </a:ln>
              <a:effectLst/>
            </c:spPr>
            <c:extLst>
              <c:ext xmlns:c16="http://schemas.microsoft.com/office/drawing/2014/chart" uri="{C3380CC4-5D6E-409C-BE32-E72D297353CC}">
                <c16:uniqueId val="{00000053-AA87-4C34-8183-1D77DD60BA08}"/>
              </c:ext>
            </c:extLst>
          </c:dPt>
          <c:dPt>
            <c:idx val="8"/>
            <c:invertIfNegative val="0"/>
            <c:bubble3D val="0"/>
            <c:spPr>
              <a:solidFill>
                <a:srgbClr val="996633"/>
              </a:solidFill>
              <a:ln>
                <a:noFill/>
              </a:ln>
              <a:effectLst/>
            </c:spPr>
            <c:extLst>
              <c:ext xmlns:c16="http://schemas.microsoft.com/office/drawing/2014/chart" uri="{C3380CC4-5D6E-409C-BE32-E72D297353CC}">
                <c16:uniqueId val="{0000005C-AA87-4C34-8183-1D77DD60BA08}"/>
              </c:ext>
            </c:extLst>
          </c:dPt>
          <c:dPt>
            <c:idx val="9"/>
            <c:invertIfNegative val="0"/>
            <c:bubble3D val="0"/>
            <c:spPr>
              <a:solidFill>
                <a:schemeClr val="tx1"/>
              </a:solidFill>
              <a:ln>
                <a:noFill/>
              </a:ln>
              <a:effectLst/>
            </c:spPr>
            <c:extLst>
              <c:ext xmlns:c16="http://schemas.microsoft.com/office/drawing/2014/chart" uri="{C3380CC4-5D6E-409C-BE32-E72D297353CC}">
                <c16:uniqueId val="{00000066-AA87-4C34-8183-1D77DD60BA08}"/>
              </c:ext>
            </c:extLst>
          </c:dPt>
          <c:dPt>
            <c:idx val="10"/>
            <c:invertIfNegative val="0"/>
            <c:bubble3D val="0"/>
            <c:spPr>
              <a:solidFill>
                <a:schemeClr val="accent4"/>
              </a:solidFill>
              <a:ln>
                <a:noFill/>
              </a:ln>
              <a:effectLst/>
            </c:spPr>
            <c:extLst>
              <c:ext xmlns:c16="http://schemas.microsoft.com/office/drawing/2014/chart" uri="{C3380CC4-5D6E-409C-BE32-E72D297353CC}">
                <c16:uniqueId val="{00000069-AA87-4C34-8183-1D77DD60BA08}"/>
              </c:ext>
            </c:extLst>
          </c:dPt>
          <c:dPt>
            <c:idx val="11"/>
            <c:invertIfNegative val="0"/>
            <c:bubble3D val="0"/>
            <c:spPr>
              <a:solidFill>
                <a:schemeClr val="accent2"/>
              </a:solidFill>
              <a:ln>
                <a:noFill/>
              </a:ln>
              <a:effectLst/>
            </c:spPr>
            <c:extLst>
              <c:ext xmlns:c16="http://schemas.microsoft.com/office/drawing/2014/chart" uri="{C3380CC4-5D6E-409C-BE32-E72D297353CC}">
                <c16:uniqueId val="{0000002D-F650-41B9-BB5D-140FCB5A70E7}"/>
              </c:ext>
            </c:extLst>
          </c:dPt>
          <c:dPt>
            <c:idx val="12"/>
            <c:invertIfNegative val="0"/>
            <c:bubble3D val="0"/>
            <c:spPr>
              <a:solidFill>
                <a:srgbClr val="92D050"/>
              </a:solidFill>
              <a:ln>
                <a:noFill/>
              </a:ln>
              <a:effectLst/>
            </c:spPr>
            <c:extLst>
              <c:ext xmlns:c16="http://schemas.microsoft.com/office/drawing/2014/chart" uri="{C3380CC4-5D6E-409C-BE32-E72D297353CC}">
                <c16:uniqueId val="{00000025-F650-41B9-BB5D-140FCB5A70E7}"/>
              </c:ext>
            </c:extLst>
          </c:dPt>
          <c:dPt>
            <c:idx val="13"/>
            <c:invertIfNegative val="0"/>
            <c:bubble3D val="0"/>
            <c:spPr>
              <a:solidFill>
                <a:srgbClr val="009242"/>
              </a:solidFill>
              <a:ln>
                <a:noFill/>
              </a:ln>
              <a:effectLst/>
            </c:spPr>
            <c:extLst>
              <c:ext xmlns:c16="http://schemas.microsoft.com/office/drawing/2014/chart" uri="{C3380CC4-5D6E-409C-BE32-E72D297353CC}">
                <c16:uniqueId val="{0000001C-F650-41B9-BB5D-140FCB5A70E7}"/>
              </c:ext>
            </c:extLst>
          </c:dPt>
          <c:cat>
            <c:strRef>
              <c:f>'Results LCIA_cf. literature'!$C$3:$P$3</c:f>
              <c:strCache>
                <c:ptCount val="14"/>
                <c:pt idx="0">
                  <c:v>NMC111, this study (EF)</c:v>
                </c:pt>
                <c:pt idx="1">
                  <c:v>NMC811, this study (EF)</c:v>
                </c:pt>
                <c:pt idx="2">
                  <c:v>NCA, this study (EF) </c:v>
                </c:pt>
                <c:pt idx="3">
                  <c:v>NMC111, this study (ReCiPe 2008)</c:v>
                </c:pt>
                <c:pt idx="4">
                  <c:v>NMC811, this study (ReCiPe 2008)</c:v>
                </c:pt>
                <c:pt idx="5">
                  <c:v>NCA, this study (ReCiPe 2008) </c:v>
                </c:pt>
                <c:pt idx="6">
                  <c:v>NMC111, Dai et al. 2019</c:v>
                </c:pt>
                <c:pt idx="7">
                  <c:v>NMC111, Ellingsen et al. 2014 - LBV</c:v>
                </c:pt>
                <c:pt idx="8">
                  <c:v>NMC111, Ellingsen et al. 2014 - ASV</c:v>
                </c:pt>
                <c:pt idx="9">
                  <c:v>NMC111, Ellingsen et al. 2014 - AVV</c:v>
                </c:pt>
                <c:pt idx="10">
                  <c:v>NMC111, Cox et al. 2020 *</c:v>
                </c:pt>
                <c:pt idx="11">
                  <c:v>LMO, Notter et al. 2010</c:v>
                </c:pt>
                <c:pt idx="12">
                  <c:v>u.chem., Emilson &amp; Dahllöf 2019 (avg)</c:v>
                </c:pt>
                <c:pt idx="13">
                  <c:v>u.chem., Romare &amp; Dahllöf 2017 (avg)</c:v>
                </c:pt>
              </c:strCache>
            </c:strRef>
          </c:cat>
          <c:val>
            <c:numRef>
              <c:f>'Results LCIA_cf. literature'!$C$5:$P$5</c:f>
              <c:numCache>
                <c:formatCode>0</c:formatCode>
                <c:ptCount val="14"/>
                <c:pt idx="0">
                  <c:v>113.55118881118881</c:v>
                </c:pt>
                <c:pt idx="1">
                  <c:v>116.65533512064344</c:v>
                </c:pt>
                <c:pt idx="2">
                  <c:v>113.02377679697354</c:v>
                </c:pt>
                <c:pt idx="3">
                  <c:v>108.71532867132868</c:v>
                </c:pt>
                <c:pt idx="4">
                  <c:v>111.34005361930295</c:v>
                </c:pt>
                <c:pt idx="5">
                  <c:v>107.91735182849936</c:v>
                </c:pt>
                <c:pt idx="6">
                  <c:v>72.900000000000006</c:v>
                </c:pt>
                <c:pt idx="7">
                  <c:v>172</c:v>
                </c:pt>
                <c:pt idx="8">
                  <c:v>240</c:v>
                </c:pt>
                <c:pt idx="9">
                  <c:v>487</c:v>
                </c:pt>
                <c:pt idx="10">
                  <c:v>110</c:v>
                </c:pt>
                <c:pt idx="11">
                  <c:v>53</c:v>
                </c:pt>
                <c:pt idx="12">
                  <c:v>83.5</c:v>
                </c:pt>
                <c:pt idx="13">
                  <c:v>175</c:v>
                </c:pt>
              </c:numCache>
            </c:numRef>
          </c:val>
          <c:extLst>
            <c:ext xmlns:c16="http://schemas.microsoft.com/office/drawing/2014/chart" uri="{C3380CC4-5D6E-409C-BE32-E72D297353CC}">
              <c16:uniqueId val="{00000017-AA87-4C34-8183-1D77DD60BA08}"/>
            </c:ext>
          </c:extLst>
        </c:ser>
        <c:dLbls>
          <c:showLegendKey val="0"/>
          <c:showVal val="0"/>
          <c:showCatName val="0"/>
          <c:showSerName val="0"/>
          <c:showPercent val="0"/>
          <c:showBubbleSize val="0"/>
        </c:dLbls>
        <c:gapWidth val="45"/>
        <c:axId val="187237072"/>
        <c:axId val="187235760"/>
      </c:barChart>
      <c:catAx>
        <c:axId val="18723707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crossAx val="187235760"/>
        <c:crosses val="autoZero"/>
        <c:auto val="1"/>
        <c:lblAlgn val="ctr"/>
        <c:lblOffset val="100"/>
        <c:noMultiLvlLbl val="0"/>
      </c:catAx>
      <c:valAx>
        <c:axId val="187235760"/>
        <c:scaling>
          <c:orientation val="minMax"/>
          <c:max val="500"/>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r>
                  <a:rPr lang="en-US" sz="1200">
                    <a:solidFill>
                      <a:sysClr val="windowText" lastClr="000000"/>
                    </a:solidFill>
                  </a:rPr>
                  <a:t>GWP</a:t>
                </a:r>
                <a:r>
                  <a:rPr lang="en-US" sz="1200" baseline="0">
                    <a:solidFill>
                      <a:sysClr val="windowText" lastClr="000000"/>
                    </a:solidFill>
                  </a:rPr>
                  <a:t> [kg CO</a:t>
                </a:r>
                <a:r>
                  <a:rPr lang="en-US" sz="1200" baseline="-25000">
                    <a:solidFill>
                      <a:sysClr val="windowText" lastClr="000000"/>
                    </a:solidFill>
                  </a:rPr>
                  <a:t>2</a:t>
                </a:r>
                <a:r>
                  <a:rPr lang="en-US" sz="1200" baseline="0">
                    <a:solidFill>
                      <a:sysClr val="windowText" lastClr="000000"/>
                    </a:solidFill>
                  </a:rPr>
                  <a:t> eq./kWh]</a:t>
                </a:r>
                <a:endParaRPr lang="en-US" sz="1200">
                  <a:solidFill>
                    <a:sysClr val="windowText" lastClr="000000"/>
                  </a:solidFill>
                </a:endParaRPr>
              </a:p>
            </c:rich>
          </c:tx>
          <c:layout>
            <c:manualLayout>
              <c:xMode val="edge"/>
              <c:yMode val="edge"/>
              <c:x val="0.60123885820425027"/>
              <c:y val="0.92107211514049248"/>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187237072"/>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271671380079798E-2"/>
          <c:y val="7.6946059365571501E-2"/>
          <c:w val="0.92349759222475403"/>
          <c:h val="0.58552843722281112"/>
        </c:manualLayout>
      </c:layout>
      <c:barChart>
        <c:barDir val="col"/>
        <c:grouping val="percentStacked"/>
        <c:varyColors val="0"/>
        <c:ser>
          <c:idx val="0"/>
          <c:order val="0"/>
          <c:tx>
            <c:strRef>
              <c:f>contribution_pack!$D$7</c:f>
              <c:strCache>
                <c:ptCount val="1"/>
                <c:pt idx="0">
                  <c:v>Battery cell </c:v>
                </c:pt>
              </c:strCache>
            </c:strRef>
          </c:tx>
          <c:spPr>
            <a:solidFill>
              <a:schemeClr val="accent1"/>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contribution_pack!$D$8:$D$23</c:f>
              <c:numCache>
                <c:formatCode>0.00E+00</c:formatCode>
                <c:ptCount val="16"/>
                <c:pt idx="0">
                  <c:v>10.543411000000001</c:v>
                </c:pt>
                <c:pt idx="1">
                  <c:v>8.8837026000000005E-7</c:v>
                </c:pt>
                <c:pt idx="2">
                  <c:v>0.22514112999999999</c:v>
                </c:pt>
                <c:pt idx="3">
                  <c:v>6.4537567000000004E-2</c:v>
                </c:pt>
                <c:pt idx="4">
                  <c:v>3.8337902999999996E-6</c:v>
                </c:pt>
                <c:pt idx="5">
                  <c:v>1.0114592E-6</c:v>
                </c:pt>
                <c:pt idx="6">
                  <c:v>1.5888140000000001E-8</c:v>
                </c:pt>
                <c:pt idx="7">
                  <c:v>0.35301188999999999</c:v>
                </c:pt>
                <c:pt idx="8">
                  <c:v>8.3984331000000001E-4</c:v>
                </c:pt>
                <c:pt idx="9">
                  <c:v>1.5737853999999999E-2</c:v>
                </c:pt>
                <c:pt idx="10">
                  <c:v>0.21449798</c:v>
                </c:pt>
                <c:pt idx="11">
                  <c:v>1190.9296999999999</c:v>
                </c:pt>
                <c:pt idx="12">
                  <c:v>41.071021999999999</c:v>
                </c:pt>
                <c:pt idx="13">
                  <c:v>3.4397449</c:v>
                </c:pt>
                <c:pt idx="14">
                  <c:v>117.45390999999999</c:v>
                </c:pt>
                <c:pt idx="15">
                  <c:v>8.1403542000000001E-4</c:v>
                </c:pt>
              </c:numCache>
            </c:numRef>
          </c:val>
          <c:extLst>
            <c:ext xmlns:c16="http://schemas.microsoft.com/office/drawing/2014/chart" uri="{C3380CC4-5D6E-409C-BE32-E72D297353CC}">
              <c16:uniqueId val="{00000000-098C-47AB-8AD4-5BD3FBEA6519}"/>
            </c:ext>
          </c:extLst>
        </c:ser>
        <c:ser>
          <c:idx val="1"/>
          <c:order val="1"/>
          <c:tx>
            <c:strRef>
              <c:f>contribution_pack!$E$7</c:f>
              <c:strCache>
                <c:ptCount val="1"/>
                <c:pt idx="0">
                  <c:v>Battery module packaging</c:v>
                </c:pt>
              </c:strCache>
            </c:strRef>
          </c:tx>
          <c:spPr>
            <a:solidFill>
              <a:schemeClr val="accent2"/>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contribution_pack!$E$8:$E$23</c:f>
              <c:numCache>
                <c:formatCode>0.00E+00</c:formatCode>
                <c:ptCount val="16"/>
                <c:pt idx="0">
                  <c:v>1.1672530999999999</c:v>
                </c:pt>
                <c:pt idx="1">
                  <c:v>6.3881490000000005E-8</c:v>
                </c:pt>
                <c:pt idx="2">
                  <c:v>3.6105195E-2</c:v>
                </c:pt>
                <c:pt idx="3">
                  <c:v>5.8084685000000004E-3</c:v>
                </c:pt>
                <c:pt idx="4">
                  <c:v>8.4777803999999997E-8</c:v>
                </c:pt>
                <c:pt idx="5">
                  <c:v>5.8894236999999997E-8</c:v>
                </c:pt>
                <c:pt idx="6">
                  <c:v>1.5784102E-9</c:v>
                </c:pt>
                <c:pt idx="7">
                  <c:v>1.1435733E-2</c:v>
                </c:pt>
                <c:pt idx="8">
                  <c:v>1.3060624999999999E-4</c:v>
                </c:pt>
                <c:pt idx="9">
                  <c:v>1.5708066999999999E-3</c:v>
                </c:pt>
                <c:pt idx="10">
                  <c:v>1.863132E-2</c:v>
                </c:pt>
                <c:pt idx="11">
                  <c:v>105.76411</c:v>
                </c:pt>
                <c:pt idx="12">
                  <c:v>6.3608174000000002</c:v>
                </c:pt>
                <c:pt idx="13">
                  <c:v>0.25713374999999999</c:v>
                </c:pt>
                <c:pt idx="14">
                  <c:v>13.019386000000001</c:v>
                </c:pt>
                <c:pt idx="15">
                  <c:v>4.3055903E-4</c:v>
                </c:pt>
              </c:numCache>
            </c:numRef>
          </c:val>
          <c:extLst>
            <c:ext xmlns:c16="http://schemas.microsoft.com/office/drawing/2014/chart" uri="{C3380CC4-5D6E-409C-BE32-E72D297353CC}">
              <c16:uniqueId val="{00000001-098C-47AB-8AD4-5BD3FBEA6519}"/>
            </c:ext>
          </c:extLst>
        </c:ser>
        <c:ser>
          <c:idx val="2"/>
          <c:order val="2"/>
          <c:tx>
            <c:strRef>
              <c:f>contribution_pack!$F$7</c:f>
              <c:strCache>
                <c:ptCount val="1"/>
                <c:pt idx="0">
                  <c:v>Aluminium, wrought alloy {GLO}| market for | Cut-off, U</c:v>
                </c:pt>
              </c:strCache>
            </c:strRef>
          </c:tx>
          <c:spPr>
            <a:solidFill>
              <a:schemeClr val="accent3"/>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contribution_pack!$F$8:$F$23</c:f>
              <c:numCache>
                <c:formatCode>0.00E+00</c:formatCode>
                <c:ptCount val="16"/>
                <c:pt idx="0">
                  <c:v>1.7910221</c:v>
                </c:pt>
                <c:pt idx="1">
                  <c:v>7.0956642000000003E-8</c:v>
                </c:pt>
                <c:pt idx="2">
                  <c:v>2.5901674999999999E-2</c:v>
                </c:pt>
                <c:pt idx="3">
                  <c:v>5.7818838999999997E-3</c:v>
                </c:pt>
                <c:pt idx="4">
                  <c:v>1.3679076E-7</c:v>
                </c:pt>
                <c:pt idx="5">
                  <c:v>4.7055186999999997E-8</c:v>
                </c:pt>
                <c:pt idx="6">
                  <c:v>2.5264409000000001E-9</c:v>
                </c:pt>
                <c:pt idx="7">
                  <c:v>1.1872552999999999E-2</c:v>
                </c:pt>
                <c:pt idx="8">
                  <c:v>6.1328703000000003E-5</c:v>
                </c:pt>
                <c:pt idx="9">
                  <c:v>1.7671948E-3</c:v>
                </c:pt>
                <c:pt idx="10">
                  <c:v>1.9709207999999999E-2</c:v>
                </c:pt>
                <c:pt idx="11">
                  <c:v>48.128794999999997</c:v>
                </c:pt>
                <c:pt idx="12">
                  <c:v>3.3079646999999999</c:v>
                </c:pt>
                <c:pt idx="13">
                  <c:v>0.25060038000000001</c:v>
                </c:pt>
                <c:pt idx="14">
                  <c:v>16.940823000000002</c:v>
                </c:pt>
                <c:pt idx="15">
                  <c:v>6.3196531000000004E-6</c:v>
                </c:pt>
              </c:numCache>
            </c:numRef>
          </c:val>
          <c:extLst>
            <c:ext xmlns:c16="http://schemas.microsoft.com/office/drawing/2014/chart" uri="{C3380CC4-5D6E-409C-BE32-E72D297353CC}">
              <c16:uniqueId val="{00000002-098C-47AB-8AD4-5BD3FBEA6519}"/>
            </c:ext>
          </c:extLst>
        </c:ser>
        <c:ser>
          <c:idx val="3"/>
          <c:order val="3"/>
          <c:tx>
            <c:strRef>
              <c:f>contribution_pack!$G$7</c:f>
              <c:strCache>
                <c:ptCount val="1"/>
                <c:pt idx="0">
                  <c:v>Impact extrusion of aluminium, 1 stroke {GLO}| market for | Cut-off, U</c:v>
                </c:pt>
              </c:strCache>
            </c:strRef>
          </c:tx>
          <c:spPr>
            <a:solidFill>
              <a:schemeClr val="accent4"/>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contribution_pack!$G$8:$G$23</c:f>
              <c:numCache>
                <c:formatCode>0.00E+00</c:formatCode>
                <c:ptCount val="16"/>
                <c:pt idx="0">
                  <c:v>0.12912714</c:v>
                </c:pt>
                <c:pt idx="1">
                  <c:v>7.9481826999999998E-9</c:v>
                </c:pt>
                <c:pt idx="2">
                  <c:v>7.0219619999999996E-3</c:v>
                </c:pt>
                <c:pt idx="3">
                  <c:v>3.0374945000000001E-4</c:v>
                </c:pt>
                <c:pt idx="4">
                  <c:v>5.7584022000000002E-9</c:v>
                </c:pt>
                <c:pt idx="5">
                  <c:v>1.8400585999999999E-9</c:v>
                </c:pt>
                <c:pt idx="6">
                  <c:v>1.2195235E-10</c:v>
                </c:pt>
                <c:pt idx="7">
                  <c:v>5.5525479999999998E-4</c:v>
                </c:pt>
                <c:pt idx="8">
                  <c:v>7.3943296000000003E-6</c:v>
                </c:pt>
                <c:pt idx="9">
                  <c:v>1.2931472E-4</c:v>
                </c:pt>
                <c:pt idx="10">
                  <c:v>1.1646486000000001E-3</c:v>
                </c:pt>
                <c:pt idx="11">
                  <c:v>11.551582</c:v>
                </c:pt>
                <c:pt idx="12">
                  <c:v>1.0675007000000001</c:v>
                </c:pt>
                <c:pt idx="13">
                  <c:v>2.5630752E-2</c:v>
                </c:pt>
                <c:pt idx="14">
                  <c:v>1.5181157999999999</c:v>
                </c:pt>
                <c:pt idx="15">
                  <c:v>5.5929138000000004E-6</c:v>
                </c:pt>
              </c:numCache>
            </c:numRef>
          </c:val>
          <c:extLst>
            <c:ext xmlns:c16="http://schemas.microsoft.com/office/drawing/2014/chart" uri="{C3380CC4-5D6E-409C-BE32-E72D297353CC}">
              <c16:uniqueId val="{00000003-098C-47AB-8AD4-5BD3FBEA6519}"/>
            </c:ext>
          </c:extLst>
        </c:ser>
        <c:ser>
          <c:idx val="4"/>
          <c:order val="4"/>
          <c:tx>
            <c:strRef>
              <c:f>contribution_pack!$H$7</c:f>
              <c:strCache>
                <c:ptCount val="1"/>
                <c:pt idx="0">
                  <c:v>Polyethylene, high density, granulate {GLO}| market for | Cut-off, U</c:v>
                </c:pt>
              </c:strCache>
            </c:strRef>
          </c:tx>
          <c:spPr>
            <a:solidFill>
              <a:schemeClr val="accent5"/>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contribution_pack!$H$8:$H$23</c:f>
              <c:numCache>
                <c:formatCode>0.00E+00</c:formatCode>
                <c:ptCount val="16"/>
                <c:pt idx="0">
                  <c:v>1.0082522E-2</c:v>
                </c:pt>
                <c:pt idx="1">
                  <c:v>2.7271186E-10</c:v>
                </c:pt>
                <c:pt idx="2">
                  <c:v>1.4731077000000001E-4</c:v>
                </c:pt>
                <c:pt idx="3">
                  <c:v>3.5172902000000002E-5</c:v>
                </c:pt>
                <c:pt idx="4">
                  <c:v>3.4336691000000001E-10</c:v>
                </c:pt>
                <c:pt idx="5">
                  <c:v>7.2676850999999999E-11</c:v>
                </c:pt>
                <c:pt idx="6">
                  <c:v>2.8252694999999998E-12</c:v>
                </c:pt>
                <c:pt idx="7">
                  <c:v>4.1098476999999997E-5</c:v>
                </c:pt>
                <c:pt idx="8">
                  <c:v>2.0705933999999999E-7</c:v>
                </c:pt>
                <c:pt idx="9">
                  <c:v>7.5662721999999998E-6</c:v>
                </c:pt>
                <c:pt idx="10">
                  <c:v>8.4249446000000006E-5</c:v>
                </c:pt>
                <c:pt idx="11">
                  <c:v>0.11056236</c:v>
                </c:pt>
                <c:pt idx="12">
                  <c:v>1.4878333000000001E-2</c:v>
                </c:pt>
                <c:pt idx="13">
                  <c:v>4.5277221999999997E-3</c:v>
                </c:pt>
                <c:pt idx="14">
                  <c:v>0.30965905999999999</c:v>
                </c:pt>
                <c:pt idx="15">
                  <c:v>9.3825685999999995E-8</c:v>
                </c:pt>
              </c:numCache>
            </c:numRef>
          </c:val>
          <c:extLst>
            <c:ext xmlns:c16="http://schemas.microsoft.com/office/drawing/2014/chart" uri="{C3380CC4-5D6E-409C-BE32-E72D297353CC}">
              <c16:uniqueId val="{00000004-098C-47AB-8AD4-5BD3FBEA6519}"/>
            </c:ext>
          </c:extLst>
        </c:ser>
        <c:ser>
          <c:idx val="5"/>
          <c:order val="5"/>
          <c:tx>
            <c:strRef>
              <c:f>contribution_pack!$I$7</c:f>
              <c:strCache>
                <c:ptCount val="1"/>
                <c:pt idx="0">
                  <c:v>Injection moulding {GLO}| market for | Cut-off, U</c:v>
                </c:pt>
              </c:strCache>
            </c:strRef>
          </c:tx>
          <c:spPr>
            <a:solidFill>
              <a:schemeClr val="accent6"/>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contribution_pack!$I$8:$I$23</c:f>
              <c:numCache>
                <c:formatCode>0.00E+00</c:formatCode>
                <c:ptCount val="16"/>
                <c:pt idx="0">
                  <c:v>5.480894E-3</c:v>
                </c:pt>
                <c:pt idx="1">
                  <c:v>4.9425293000000005E-10</c:v>
                </c:pt>
                <c:pt idx="2">
                  <c:v>3.4807225999999999E-4</c:v>
                </c:pt>
                <c:pt idx="3">
                  <c:v>1.4806646000000001E-5</c:v>
                </c:pt>
                <c:pt idx="4">
                  <c:v>1.8638572E-10</c:v>
                </c:pt>
                <c:pt idx="5">
                  <c:v>4.8160906999999998E-11</c:v>
                </c:pt>
                <c:pt idx="6">
                  <c:v>1.8678711E-12</c:v>
                </c:pt>
                <c:pt idx="7">
                  <c:v>2.6238902999999999E-5</c:v>
                </c:pt>
                <c:pt idx="8">
                  <c:v>2.7212404000000002E-7</c:v>
                </c:pt>
                <c:pt idx="9">
                  <c:v>4.3174843E-6</c:v>
                </c:pt>
                <c:pt idx="10">
                  <c:v>4.9456266999999999E-5</c:v>
                </c:pt>
                <c:pt idx="11">
                  <c:v>9.3100348999999999E-2</c:v>
                </c:pt>
                <c:pt idx="12">
                  <c:v>3.9230531999999999E-2</c:v>
                </c:pt>
                <c:pt idx="13">
                  <c:v>1.7121955999999999E-3</c:v>
                </c:pt>
                <c:pt idx="14">
                  <c:v>8.6358537999999999E-2</c:v>
                </c:pt>
                <c:pt idx="15">
                  <c:v>3.9007411999999999E-8</c:v>
                </c:pt>
              </c:numCache>
            </c:numRef>
          </c:val>
          <c:extLst>
            <c:ext xmlns:c16="http://schemas.microsoft.com/office/drawing/2014/chart" uri="{C3380CC4-5D6E-409C-BE32-E72D297353CC}">
              <c16:uniqueId val="{00000005-098C-47AB-8AD4-5BD3FBEA6519}"/>
            </c:ext>
          </c:extLst>
        </c:ser>
        <c:ser>
          <c:idx val="6"/>
          <c:order val="6"/>
          <c:tx>
            <c:strRef>
              <c:f>contribution_pack!$J$7</c:f>
              <c:strCache>
                <c:ptCount val="1"/>
                <c:pt idx="0">
                  <c:v>Reinforcing steel {GLO}| market for | Cut-off, U</c:v>
                </c:pt>
              </c:strCache>
            </c:strRef>
          </c:tx>
          <c:spPr>
            <a:solidFill>
              <a:schemeClr val="accent1">
                <a:lumMod val="60000"/>
              </a:schemeClr>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contribution_pack!$J$8:$J$23</c:f>
              <c:numCache>
                <c:formatCode>0.00E+00</c:formatCode>
                <c:ptCount val="16"/>
                <c:pt idx="0">
                  <c:v>1.3158494999999999E-2</c:v>
                </c:pt>
                <c:pt idx="1">
                  <c:v>7.5486889999999996E-10</c:v>
                </c:pt>
                <c:pt idx="2">
                  <c:v>2.7678350999999998E-4</c:v>
                </c:pt>
                <c:pt idx="3">
                  <c:v>6.5261185000000004E-5</c:v>
                </c:pt>
                <c:pt idx="4">
                  <c:v>1.1162883E-9</c:v>
                </c:pt>
                <c:pt idx="5">
                  <c:v>7.0855841999999997E-10</c:v>
                </c:pt>
                <c:pt idx="6">
                  <c:v>7.6929027E-11</c:v>
                </c:pt>
                <c:pt idx="7">
                  <c:v>6.1362136999999994E-5</c:v>
                </c:pt>
                <c:pt idx="8">
                  <c:v>6.3514842999999999E-7</c:v>
                </c:pt>
                <c:pt idx="9">
                  <c:v>1.2772283E-5</c:v>
                </c:pt>
                <c:pt idx="10">
                  <c:v>1.3892264999999999E-4</c:v>
                </c:pt>
                <c:pt idx="11">
                  <c:v>0.43185962</c:v>
                </c:pt>
                <c:pt idx="12">
                  <c:v>4.1570582000000002E-2</c:v>
                </c:pt>
                <c:pt idx="13">
                  <c:v>4.0315623000000004E-3</c:v>
                </c:pt>
                <c:pt idx="14">
                  <c:v>0.13987215</c:v>
                </c:pt>
                <c:pt idx="15">
                  <c:v>1.1267691E-7</c:v>
                </c:pt>
              </c:numCache>
            </c:numRef>
          </c:val>
          <c:extLst>
            <c:ext xmlns:c16="http://schemas.microsoft.com/office/drawing/2014/chart" uri="{C3380CC4-5D6E-409C-BE32-E72D297353CC}">
              <c16:uniqueId val="{00000006-098C-47AB-8AD4-5BD3FBEA6519}"/>
            </c:ext>
          </c:extLst>
        </c:ser>
        <c:ser>
          <c:idx val="7"/>
          <c:order val="7"/>
          <c:tx>
            <c:strRef>
              <c:f>contribution_pack!$K$7</c:f>
              <c:strCache>
                <c:ptCount val="1"/>
                <c:pt idx="0">
                  <c:v>Sheet rolling, steel {GLO}| market for | Cut-off, U</c:v>
                </c:pt>
              </c:strCache>
            </c:strRef>
          </c:tx>
          <c:spPr>
            <a:solidFill>
              <a:schemeClr val="accent2">
                <a:lumMod val="60000"/>
              </a:schemeClr>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contribution_pack!$K$8:$K$23</c:f>
              <c:numCache>
                <c:formatCode>0.00E+00</c:formatCode>
                <c:ptCount val="16"/>
                <c:pt idx="0">
                  <c:v>2.3874450000000002E-3</c:v>
                </c:pt>
                <c:pt idx="1">
                  <c:v>1.4824534E-10</c:v>
                </c:pt>
                <c:pt idx="2">
                  <c:v>8.4665048999999997E-5</c:v>
                </c:pt>
                <c:pt idx="3">
                  <c:v>9.7518723000000005E-6</c:v>
                </c:pt>
                <c:pt idx="4">
                  <c:v>1.341209E-10</c:v>
                </c:pt>
                <c:pt idx="5">
                  <c:v>4.7488582999999998E-11</c:v>
                </c:pt>
                <c:pt idx="6">
                  <c:v>8.3103634999999997E-12</c:v>
                </c:pt>
                <c:pt idx="7">
                  <c:v>1.1428981E-5</c:v>
                </c:pt>
                <c:pt idx="8">
                  <c:v>1.0574249E-7</c:v>
                </c:pt>
                <c:pt idx="9">
                  <c:v>2.1914300999999998E-6</c:v>
                </c:pt>
                <c:pt idx="10">
                  <c:v>2.4377631999999999E-5</c:v>
                </c:pt>
                <c:pt idx="11">
                  <c:v>5.7511242999999997E-2</c:v>
                </c:pt>
                <c:pt idx="12">
                  <c:v>7.3958373999999999E-3</c:v>
                </c:pt>
                <c:pt idx="13">
                  <c:v>1.7848699E-3</c:v>
                </c:pt>
                <c:pt idx="14">
                  <c:v>2.9266078000000001E-2</c:v>
                </c:pt>
                <c:pt idx="15">
                  <c:v>2.1259367E-8</c:v>
                </c:pt>
              </c:numCache>
            </c:numRef>
          </c:val>
          <c:extLst>
            <c:ext xmlns:c16="http://schemas.microsoft.com/office/drawing/2014/chart" uri="{C3380CC4-5D6E-409C-BE32-E72D297353CC}">
              <c16:uniqueId val="{00000007-098C-47AB-8AD4-5BD3FBEA6519}"/>
            </c:ext>
          </c:extLst>
        </c:ser>
        <c:ser>
          <c:idx val="8"/>
          <c:order val="8"/>
          <c:tx>
            <c:strRef>
              <c:f>contribution_pack!$L$7</c:f>
              <c:strCache>
                <c:ptCount val="1"/>
                <c:pt idx="0">
                  <c:v>Copper {GLO}| market for | Cut-off, U</c:v>
                </c:pt>
              </c:strCache>
            </c:strRef>
          </c:tx>
          <c:spPr>
            <a:solidFill>
              <a:schemeClr val="accent3">
                <a:lumMod val="60000"/>
              </a:schemeClr>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contribution_pack!$L$8:$L$23</c:f>
              <c:numCache>
                <c:formatCode>0.00E+00</c:formatCode>
                <c:ptCount val="16"/>
                <c:pt idx="0">
                  <c:v>2.6203632999999998E-3</c:v>
                </c:pt>
                <c:pt idx="1">
                  <c:v>1.5298654E-10</c:v>
                </c:pt>
                <c:pt idx="2">
                  <c:v>8.0723774000000003E-5</c:v>
                </c:pt>
                <c:pt idx="3">
                  <c:v>5.6149264999999999E-5</c:v>
                </c:pt>
                <c:pt idx="4">
                  <c:v>6.4615268999999998E-10</c:v>
                </c:pt>
                <c:pt idx="5">
                  <c:v>3.4584364E-9</c:v>
                </c:pt>
                <c:pt idx="6">
                  <c:v>4.0408636E-11</c:v>
                </c:pt>
                <c:pt idx="7">
                  <c:v>3.0150762999999999E-4</c:v>
                </c:pt>
                <c:pt idx="8">
                  <c:v>2.4008962999999999E-6</c:v>
                </c:pt>
                <c:pt idx="9">
                  <c:v>1.3887628000000001E-5</c:v>
                </c:pt>
                <c:pt idx="10">
                  <c:v>2.1072254999999999E-4</c:v>
                </c:pt>
                <c:pt idx="11">
                  <c:v>2.9059957999999999</c:v>
                </c:pt>
                <c:pt idx="12">
                  <c:v>3.9937699E-2</c:v>
                </c:pt>
                <c:pt idx="13">
                  <c:v>2.1742536999999999E-3</c:v>
                </c:pt>
                <c:pt idx="14">
                  <c:v>2.7557361999999998E-2</c:v>
                </c:pt>
                <c:pt idx="15">
                  <c:v>1.719828E-6</c:v>
                </c:pt>
              </c:numCache>
            </c:numRef>
          </c:val>
          <c:extLst>
            <c:ext xmlns:c16="http://schemas.microsoft.com/office/drawing/2014/chart" uri="{C3380CC4-5D6E-409C-BE32-E72D297353CC}">
              <c16:uniqueId val="{00000008-098C-47AB-8AD4-5BD3FBEA6519}"/>
            </c:ext>
          </c:extLst>
        </c:ser>
        <c:ser>
          <c:idx val="9"/>
          <c:order val="9"/>
          <c:tx>
            <c:strRef>
              <c:f>contribution_pack!$M$7</c:f>
              <c:strCache>
                <c:ptCount val="1"/>
                <c:pt idx="0">
                  <c:v>Sheet rolling, copper {GLO}| market for | Cut-off, U</c:v>
                </c:pt>
              </c:strCache>
            </c:strRef>
          </c:tx>
          <c:spPr>
            <a:solidFill>
              <a:schemeClr val="accent4">
                <a:lumMod val="60000"/>
              </a:schemeClr>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contribution_pack!$M$8:$M$23</c:f>
              <c:numCache>
                <c:formatCode>0.00E+00</c:formatCode>
                <c:ptCount val="16"/>
                <c:pt idx="0">
                  <c:v>2.5826983999999999E-4</c:v>
                </c:pt>
                <c:pt idx="1">
                  <c:v>1.5499393E-11</c:v>
                </c:pt>
                <c:pt idx="2">
                  <c:v>1.0980959999999999E-5</c:v>
                </c:pt>
                <c:pt idx="3">
                  <c:v>2.8676874000000001E-6</c:v>
                </c:pt>
                <c:pt idx="4">
                  <c:v>3.3511582999999999E-11</c:v>
                </c:pt>
                <c:pt idx="5">
                  <c:v>1.3855199999999999E-10</c:v>
                </c:pt>
                <c:pt idx="6">
                  <c:v>1.6884673E-12</c:v>
                </c:pt>
                <c:pt idx="7">
                  <c:v>1.2736713999999999E-5</c:v>
                </c:pt>
                <c:pt idx="8">
                  <c:v>1.0221368E-7</c:v>
                </c:pt>
                <c:pt idx="9">
                  <c:v>6.6928626000000002E-7</c:v>
                </c:pt>
                <c:pt idx="10">
                  <c:v>9.6516435999999998E-6</c:v>
                </c:pt>
                <c:pt idx="11">
                  <c:v>0.12251267</c:v>
                </c:pt>
                <c:pt idx="12">
                  <c:v>2.2600390000000001E-3</c:v>
                </c:pt>
                <c:pt idx="13">
                  <c:v>2.6294158E-4</c:v>
                </c:pt>
                <c:pt idx="14">
                  <c:v>3.0526238999999998E-3</c:v>
                </c:pt>
                <c:pt idx="15">
                  <c:v>6.8636291000000003E-8</c:v>
                </c:pt>
              </c:numCache>
            </c:numRef>
          </c:val>
          <c:extLst>
            <c:ext xmlns:c16="http://schemas.microsoft.com/office/drawing/2014/chart" uri="{C3380CC4-5D6E-409C-BE32-E72D297353CC}">
              <c16:uniqueId val="{00000009-098C-47AB-8AD4-5BD3FBEA6519}"/>
            </c:ext>
          </c:extLst>
        </c:ser>
        <c:ser>
          <c:idx val="10"/>
          <c:order val="10"/>
          <c:tx>
            <c:strRef>
              <c:f>contribution_pack!$N$7</c:f>
              <c:strCache>
                <c:ptCount val="1"/>
                <c:pt idx="0">
                  <c:v>Glass fibre reinforced plastic, polyamide, injection moulded {GLO}| market for | Cut-off, U</c:v>
                </c:pt>
              </c:strCache>
            </c:strRef>
          </c:tx>
          <c:spPr>
            <a:solidFill>
              <a:schemeClr val="accent5">
                <a:lumMod val="60000"/>
              </a:schemeClr>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contribution_pack!$N$8:$N$23</c:f>
              <c:numCache>
                <c:formatCode>0.00E+00</c:formatCode>
                <c:ptCount val="16"/>
                <c:pt idx="0">
                  <c:v>1.6751102999999999E-3</c:v>
                </c:pt>
                <c:pt idx="1">
                  <c:v>3.0993414000000001E-11</c:v>
                </c:pt>
                <c:pt idx="2">
                  <c:v>2.0015367000000001E-5</c:v>
                </c:pt>
                <c:pt idx="3">
                  <c:v>4.0558589E-6</c:v>
                </c:pt>
                <c:pt idx="4">
                  <c:v>7.7331171000000003E-11</c:v>
                </c:pt>
                <c:pt idx="5">
                  <c:v>4.8372030999999998E-12</c:v>
                </c:pt>
                <c:pt idx="6">
                  <c:v>2.8206036999999998E-13</c:v>
                </c:pt>
                <c:pt idx="7">
                  <c:v>7.0576490999999998E-6</c:v>
                </c:pt>
                <c:pt idx="8">
                  <c:v>1.9346021E-8</c:v>
                </c:pt>
                <c:pt idx="9">
                  <c:v>2.1959426E-6</c:v>
                </c:pt>
                <c:pt idx="10">
                  <c:v>1.1959929999999999E-5</c:v>
                </c:pt>
                <c:pt idx="11">
                  <c:v>6.1615864000000003E-3</c:v>
                </c:pt>
                <c:pt idx="12">
                  <c:v>2.1266174000000001E-3</c:v>
                </c:pt>
                <c:pt idx="13">
                  <c:v>1.5936991999999999E-3</c:v>
                </c:pt>
                <c:pt idx="14">
                  <c:v>2.4044109000000001E-2</c:v>
                </c:pt>
                <c:pt idx="15">
                  <c:v>3.1112747E-9</c:v>
                </c:pt>
              </c:numCache>
            </c:numRef>
          </c:val>
          <c:extLst>
            <c:ext xmlns:c16="http://schemas.microsoft.com/office/drawing/2014/chart" uri="{C3380CC4-5D6E-409C-BE32-E72D297353CC}">
              <c16:uniqueId val="{0000000A-098C-47AB-8AD4-5BD3FBEA6519}"/>
            </c:ext>
          </c:extLst>
        </c:ser>
        <c:ser>
          <c:idx val="11"/>
          <c:order val="11"/>
          <c:tx>
            <c:strRef>
              <c:f>contribution_pack!$O$7</c:f>
              <c:strCache>
                <c:ptCount val="1"/>
                <c:pt idx="0">
                  <c:v>Ethylene glycol {GLO}| market for | Cut-off, U</c:v>
                </c:pt>
              </c:strCache>
            </c:strRef>
          </c:tx>
          <c:spPr>
            <a:solidFill>
              <a:schemeClr val="accent6">
                <a:lumMod val="60000"/>
              </a:schemeClr>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contribution_pack!$O$8:$O$23</c:f>
              <c:numCache>
                <c:formatCode>0.00E+00</c:formatCode>
                <c:ptCount val="16"/>
                <c:pt idx="0">
                  <c:v>4.5438367E-2</c:v>
                </c:pt>
                <c:pt idx="1">
                  <c:v>1.0679075999999999E-9</c:v>
                </c:pt>
                <c:pt idx="2">
                  <c:v>1.084427E-3</c:v>
                </c:pt>
                <c:pt idx="3">
                  <c:v>1.4361826E-4</c:v>
                </c:pt>
                <c:pt idx="4">
                  <c:v>1.5408460999999999E-9</c:v>
                </c:pt>
                <c:pt idx="5">
                  <c:v>4.7270596999999995E-10</c:v>
                </c:pt>
                <c:pt idx="6">
                  <c:v>1.5019469000000001E-11</c:v>
                </c:pt>
                <c:pt idx="7">
                  <c:v>2.0040233000000001E-4</c:v>
                </c:pt>
                <c:pt idx="8">
                  <c:v>1.434238E-6</c:v>
                </c:pt>
                <c:pt idx="9">
                  <c:v>3.5193837999999999E-5</c:v>
                </c:pt>
                <c:pt idx="10">
                  <c:v>3.9752187000000001E-4</c:v>
                </c:pt>
                <c:pt idx="11">
                  <c:v>0.68021622000000004</c:v>
                </c:pt>
                <c:pt idx="12">
                  <c:v>9.1101838000000004E-2</c:v>
                </c:pt>
                <c:pt idx="13">
                  <c:v>2.1995424E-2</c:v>
                </c:pt>
                <c:pt idx="14">
                  <c:v>1.0671885000000001</c:v>
                </c:pt>
                <c:pt idx="15">
                  <c:v>6.9934913000000005E-7</c:v>
                </c:pt>
              </c:numCache>
            </c:numRef>
          </c:val>
          <c:extLst>
            <c:ext xmlns:c16="http://schemas.microsoft.com/office/drawing/2014/chart" uri="{C3380CC4-5D6E-409C-BE32-E72D297353CC}">
              <c16:uniqueId val="{0000000B-098C-47AB-8AD4-5BD3FBEA6519}"/>
            </c:ext>
          </c:extLst>
        </c:ser>
        <c:ser>
          <c:idx val="12"/>
          <c:order val="12"/>
          <c:tx>
            <c:strRef>
              <c:f>contribution_pack!$P$7</c:f>
              <c:strCache>
                <c:ptCount val="1"/>
                <c:pt idx="0">
                  <c:v>Tap water {RoW}| market for | Cut-off, U</c:v>
                </c:pt>
              </c:strCache>
            </c:strRef>
          </c:tx>
          <c:spPr>
            <a:solidFill>
              <a:schemeClr val="accent1">
                <a:lumMod val="80000"/>
                <a:lumOff val="20000"/>
              </a:schemeClr>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contribution_pack!$P$8:$P$23</c:f>
              <c:numCache>
                <c:formatCode>0.00E+00</c:formatCode>
                <c:ptCount val="16"/>
                <c:pt idx="0">
                  <c:v>2.3658853E-5</c:v>
                </c:pt>
                <c:pt idx="1">
                  <c:v>1.5396627999999999E-12</c:v>
                </c:pt>
                <c:pt idx="2">
                  <c:v>1.6240370999999999E-6</c:v>
                </c:pt>
                <c:pt idx="3">
                  <c:v>7.1014278000000006E-8</c:v>
                </c:pt>
                <c:pt idx="4">
                  <c:v>1.2042312000000001E-12</c:v>
                </c:pt>
                <c:pt idx="5">
                  <c:v>9.6265790000000006E-13</c:v>
                </c:pt>
                <c:pt idx="6">
                  <c:v>4.4916082999999998E-14</c:v>
                </c:pt>
                <c:pt idx="7">
                  <c:v>1.2107774E-7</c:v>
                </c:pt>
                <c:pt idx="8">
                  <c:v>1.4379517999999999E-9</c:v>
                </c:pt>
                <c:pt idx="9">
                  <c:v>2.043783E-8</c:v>
                </c:pt>
                <c:pt idx="10">
                  <c:v>2.2880553000000001E-7</c:v>
                </c:pt>
                <c:pt idx="11">
                  <c:v>4.8182746E-4</c:v>
                </c:pt>
                <c:pt idx="12">
                  <c:v>7.0489931000000002E-5</c:v>
                </c:pt>
                <c:pt idx="13">
                  <c:v>9.2445840999999995E-4</c:v>
                </c:pt>
                <c:pt idx="14">
                  <c:v>3.1278358999999999E-4</c:v>
                </c:pt>
                <c:pt idx="15">
                  <c:v>6.9593537999999997E-10</c:v>
                </c:pt>
              </c:numCache>
            </c:numRef>
          </c:val>
          <c:extLst>
            <c:ext xmlns:c16="http://schemas.microsoft.com/office/drawing/2014/chart" uri="{C3380CC4-5D6E-409C-BE32-E72D297353CC}">
              <c16:uniqueId val="{0000000C-098C-47AB-8AD4-5BD3FBEA6519}"/>
            </c:ext>
          </c:extLst>
        </c:ser>
        <c:ser>
          <c:idx val="13"/>
          <c:order val="13"/>
          <c:tx>
            <c:strRef>
              <c:f>contribution_pack!$Q$7</c:f>
              <c:strCache>
                <c:ptCount val="1"/>
                <c:pt idx="0">
                  <c:v>Aluminium, wrought alloy {GLO}| market for | Cut-off, U</c:v>
                </c:pt>
              </c:strCache>
            </c:strRef>
          </c:tx>
          <c:spPr>
            <a:solidFill>
              <a:schemeClr val="accent2">
                <a:lumMod val="80000"/>
                <a:lumOff val="20000"/>
              </a:schemeClr>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contribution_pack!$Q$8:$Q$23</c:f>
              <c:numCache>
                <c:formatCode>0.00E+00</c:formatCode>
                <c:ptCount val="16"/>
                <c:pt idx="0">
                  <c:v>1.6041401E-2</c:v>
                </c:pt>
                <c:pt idx="1">
                  <c:v>6.3552760000000004E-10</c:v>
                </c:pt>
                <c:pt idx="2">
                  <c:v>2.3198996999999999E-4</c:v>
                </c:pt>
                <c:pt idx="3">
                  <c:v>5.1785803999999999E-5</c:v>
                </c:pt>
                <c:pt idx="4">
                  <c:v>1.225175E-9</c:v>
                </c:pt>
                <c:pt idx="5">
                  <c:v>4.2145272E-10</c:v>
                </c:pt>
                <c:pt idx="6">
                  <c:v>2.2628226000000001E-11</c:v>
                </c:pt>
                <c:pt idx="7">
                  <c:v>1.0633726E-4</c:v>
                </c:pt>
                <c:pt idx="8">
                  <c:v>5.4929435999999995E-7</c:v>
                </c:pt>
                <c:pt idx="9">
                  <c:v>1.5827990000000001E-5</c:v>
                </c:pt>
                <c:pt idx="10">
                  <c:v>1.7652675E-4</c:v>
                </c:pt>
                <c:pt idx="11">
                  <c:v>0.43106854999999999</c:v>
                </c:pt>
                <c:pt idx="12">
                  <c:v>2.9627991999999999E-2</c:v>
                </c:pt>
                <c:pt idx="13">
                  <c:v>2.244518E-3</c:v>
                </c:pt>
                <c:pt idx="14">
                  <c:v>0.15173154</c:v>
                </c:pt>
                <c:pt idx="15">
                  <c:v>5.6602367999999998E-8</c:v>
                </c:pt>
              </c:numCache>
            </c:numRef>
          </c:val>
          <c:extLst>
            <c:ext xmlns:c16="http://schemas.microsoft.com/office/drawing/2014/chart" uri="{C3380CC4-5D6E-409C-BE32-E72D297353CC}">
              <c16:uniqueId val="{0000000D-098C-47AB-8AD4-5BD3FBEA6519}"/>
            </c:ext>
          </c:extLst>
        </c:ser>
        <c:ser>
          <c:idx val="14"/>
          <c:order val="14"/>
          <c:tx>
            <c:strRef>
              <c:f>contribution_pack!$R$7</c:f>
              <c:strCache>
                <c:ptCount val="1"/>
                <c:pt idx="0">
                  <c:v>Sheet rolling, aluminium {GLO}| market for | Cut-off, U</c:v>
                </c:pt>
              </c:strCache>
            </c:strRef>
          </c:tx>
          <c:spPr>
            <a:solidFill>
              <a:schemeClr val="accent3">
                <a:lumMod val="80000"/>
                <a:lumOff val="20000"/>
              </a:schemeClr>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contribution_pack!$R$8:$R$23</c:f>
              <c:numCache>
                <c:formatCode>0.00E+00</c:formatCode>
                <c:ptCount val="16"/>
                <c:pt idx="0">
                  <c:v>7.9824226000000005E-4</c:v>
                </c:pt>
                <c:pt idx="1">
                  <c:v>4.0617001999999999E-11</c:v>
                </c:pt>
                <c:pt idx="2">
                  <c:v>3.0098835999999999E-5</c:v>
                </c:pt>
                <c:pt idx="3">
                  <c:v>2.6999610999999999E-6</c:v>
                </c:pt>
                <c:pt idx="4">
                  <c:v>3.5043037999999999E-11</c:v>
                </c:pt>
                <c:pt idx="5">
                  <c:v>1.0077472E-11</c:v>
                </c:pt>
                <c:pt idx="6">
                  <c:v>4.4283521999999999E-13</c:v>
                </c:pt>
                <c:pt idx="7">
                  <c:v>3.941081E-6</c:v>
                </c:pt>
                <c:pt idx="8">
                  <c:v>3.3667803000000001E-8</c:v>
                </c:pt>
                <c:pt idx="9">
                  <c:v>6.5768017000000003E-7</c:v>
                </c:pt>
                <c:pt idx="10">
                  <c:v>7.3492115999999996E-6</c:v>
                </c:pt>
                <c:pt idx="11">
                  <c:v>1.9493180999999998E-2</c:v>
                </c:pt>
                <c:pt idx="12">
                  <c:v>1.5614037000000001E-3</c:v>
                </c:pt>
                <c:pt idx="13">
                  <c:v>1.6888147E-4</c:v>
                </c:pt>
                <c:pt idx="14">
                  <c:v>9.7492093000000005E-3</c:v>
                </c:pt>
                <c:pt idx="15">
                  <c:v>2.1614564000000002E-9</c:v>
                </c:pt>
              </c:numCache>
            </c:numRef>
          </c:val>
          <c:extLst>
            <c:ext xmlns:c16="http://schemas.microsoft.com/office/drawing/2014/chart" uri="{C3380CC4-5D6E-409C-BE32-E72D297353CC}">
              <c16:uniqueId val="{0000000E-098C-47AB-8AD4-5BD3FBEA6519}"/>
            </c:ext>
          </c:extLst>
        </c:ser>
        <c:ser>
          <c:idx val="15"/>
          <c:order val="15"/>
          <c:tx>
            <c:strRef>
              <c:f>contribution_pack!$S$7</c:f>
              <c:strCache>
                <c:ptCount val="1"/>
                <c:pt idx="0">
                  <c:v>BMS</c:v>
                </c:pt>
              </c:strCache>
            </c:strRef>
          </c:tx>
          <c:spPr>
            <a:solidFill>
              <a:schemeClr val="accent4">
                <a:lumMod val="80000"/>
                <a:lumOff val="20000"/>
              </a:schemeClr>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contribution_pack!$S$8:$S$23</c:f>
              <c:numCache>
                <c:formatCode>0.00E+00</c:formatCode>
                <c:ptCount val="16"/>
                <c:pt idx="0">
                  <c:v>1.9956415000000001</c:v>
                </c:pt>
                <c:pt idx="1">
                  <c:v>1.6916136E-7</c:v>
                </c:pt>
                <c:pt idx="2">
                  <c:v>9.1164848000000007E-2</c:v>
                </c:pt>
                <c:pt idx="3">
                  <c:v>9.1228440999999993E-3</c:v>
                </c:pt>
                <c:pt idx="4">
                  <c:v>1.1690367000000001E-7</c:v>
                </c:pt>
                <c:pt idx="5">
                  <c:v>1.3543614E-7</c:v>
                </c:pt>
                <c:pt idx="6">
                  <c:v>3.1612674000000002E-9</c:v>
                </c:pt>
                <c:pt idx="7">
                  <c:v>1.9285024000000001E-2</c:v>
                </c:pt>
                <c:pt idx="8">
                  <c:v>3.891508E-4</c:v>
                </c:pt>
                <c:pt idx="9">
                  <c:v>2.7444750000000001E-3</c:v>
                </c:pt>
                <c:pt idx="10">
                  <c:v>3.3336840999999999E-2</c:v>
                </c:pt>
                <c:pt idx="11">
                  <c:v>218.02886000000001</c:v>
                </c:pt>
                <c:pt idx="12">
                  <c:v>16.094764999999999</c:v>
                </c:pt>
                <c:pt idx="13">
                  <c:v>0.50801370000000001</c:v>
                </c:pt>
                <c:pt idx="14">
                  <c:v>24.144663000000001</c:v>
                </c:pt>
                <c:pt idx="15">
                  <c:v>1.0490638999999999E-3</c:v>
                </c:pt>
              </c:numCache>
            </c:numRef>
          </c:val>
          <c:extLst>
            <c:ext xmlns:c16="http://schemas.microsoft.com/office/drawing/2014/chart" uri="{C3380CC4-5D6E-409C-BE32-E72D297353CC}">
              <c16:uniqueId val="{0000000F-098C-47AB-8AD4-5BD3FBEA6519}"/>
            </c:ext>
          </c:extLst>
        </c:ser>
        <c:ser>
          <c:idx val="16"/>
          <c:order val="16"/>
          <c:tx>
            <c:strRef>
              <c:f>contribution_pack!$T$7</c:f>
              <c:strCache>
                <c:ptCount val="1"/>
                <c:pt idx="0">
                  <c:v>Electronic component, passive, unspecified {GLO}| market for | Cut-off, U</c:v>
                </c:pt>
              </c:strCache>
            </c:strRef>
          </c:tx>
          <c:spPr>
            <a:solidFill>
              <a:schemeClr val="accent5">
                <a:lumMod val="80000"/>
                <a:lumOff val="20000"/>
              </a:schemeClr>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contribution_pack!$T$8:$T$23</c:f>
              <c:numCache>
                <c:formatCode>0.00E+00</c:formatCode>
                <c:ptCount val="16"/>
                <c:pt idx="0">
                  <c:v>0.33418284999999998</c:v>
                </c:pt>
                <c:pt idx="1">
                  <c:v>2.3779987000000001E-8</c:v>
                </c:pt>
                <c:pt idx="2">
                  <c:v>1.6085921999999999E-2</c:v>
                </c:pt>
                <c:pt idx="3">
                  <c:v>2.2272250000000002E-3</c:v>
                </c:pt>
                <c:pt idx="4">
                  <c:v>2.2167880999999999E-8</c:v>
                </c:pt>
                <c:pt idx="5">
                  <c:v>1.6415425000000002E-8</c:v>
                </c:pt>
                <c:pt idx="6">
                  <c:v>3.3341633000000001E-10</c:v>
                </c:pt>
                <c:pt idx="7">
                  <c:v>3.7175810999999998E-3</c:v>
                </c:pt>
                <c:pt idx="8">
                  <c:v>6.1374427E-5</c:v>
                </c:pt>
                <c:pt idx="9">
                  <c:v>5.5915081000000003E-4</c:v>
                </c:pt>
                <c:pt idx="10">
                  <c:v>6.7868047000000003E-3</c:v>
                </c:pt>
                <c:pt idx="11">
                  <c:v>46.596459000000003</c:v>
                </c:pt>
                <c:pt idx="12">
                  <c:v>2.8940201000000001</c:v>
                </c:pt>
                <c:pt idx="13">
                  <c:v>9.4220003999999996E-2</c:v>
                </c:pt>
                <c:pt idx="14">
                  <c:v>4.2854654999999999</c:v>
                </c:pt>
                <c:pt idx="15">
                  <c:v>2.6433384000000001E-4</c:v>
                </c:pt>
              </c:numCache>
            </c:numRef>
          </c:val>
          <c:extLst>
            <c:ext xmlns:c16="http://schemas.microsoft.com/office/drawing/2014/chart" uri="{C3380CC4-5D6E-409C-BE32-E72D297353CC}">
              <c16:uniqueId val="{00000013-098C-47AB-8AD4-5BD3FBEA6519}"/>
            </c:ext>
          </c:extLst>
        </c:ser>
        <c:ser>
          <c:idx val="17"/>
          <c:order val="17"/>
          <c:tx>
            <c:strRef>
              <c:f>contribution_pack!$U$7</c:f>
              <c:strCache>
                <c:ptCount val="1"/>
                <c:pt idx="0">
                  <c:v>Metal working factory {GLO}| market for | Cut-off, U</c:v>
                </c:pt>
              </c:strCache>
            </c:strRef>
          </c:tx>
          <c:spPr>
            <a:solidFill>
              <a:schemeClr val="accent6">
                <a:lumMod val="80000"/>
                <a:lumOff val="20000"/>
              </a:schemeClr>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contribution_pack!$U$8:$U$23</c:f>
              <c:numCache>
                <c:formatCode>0.00E+00</c:formatCode>
                <c:ptCount val="16"/>
                <c:pt idx="0">
                  <c:v>0.178923</c:v>
                </c:pt>
                <c:pt idx="1">
                  <c:v>2.4687604999999999E-8</c:v>
                </c:pt>
                <c:pt idx="2">
                  <c:v>8.2652561999999995E-3</c:v>
                </c:pt>
                <c:pt idx="3">
                  <c:v>1.1207081E-3</c:v>
                </c:pt>
                <c:pt idx="4">
                  <c:v>2.2192135000000001E-8</c:v>
                </c:pt>
                <c:pt idx="5">
                  <c:v>4.2956652E-9</c:v>
                </c:pt>
                <c:pt idx="6">
                  <c:v>3.1815996999999999E-10</c:v>
                </c:pt>
                <c:pt idx="7">
                  <c:v>1.7602908999999999E-3</c:v>
                </c:pt>
                <c:pt idx="8">
                  <c:v>4.9417887999999999E-6</c:v>
                </c:pt>
                <c:pt idx="9">
                  <c:v>2.9922173000000002E-4</c:v>
                </c:pt>
                <c:pt idx="10">
                  <c:v>6.2689920999999997E-3</c:v>
                </c:pt>
                <c:pt idx="11">
                  <c:v>4.6902685999999996</c:v>
                </c:pt>
                <c:pt idx="12">
                  <c:v>17.727117</c:v>
                </c:pt>
                <c:pt idx="13">
                  <c:v>4.6406314999999997E-2</c:v>
                </c:pt>
                <c:pt idx="14">
                  <c:v>2.4425119999999998</c:v>
                </c:pt>
                <c:pt idx="15">
                  <c:v>1.1697609000000001E-4</c:v>
                </c:pt>
              </c:numCache>
            </c:numRef>
          </c:val>
          <c:extLst>
            <c:ext xmlns:c16="http://schemas.microsoft.com/office/drawing/2014/chart" uri="{C3380CC4-5D6E-409C-BE32-E72D297353CC}">
              <c16:uniqueId val="{00000014-098C-47AB-8AD4-5BD3FBEA6519}"/>
            </c:ext>
          </c:extLst>
        </c:ser>
        <c:ser>
          <c:idx val="18"/>
          <c:order val="18"/>
          <c:tx>
            <c:strRef>
              <c:f>contribution_pack!$V$7</c:f>
              <c:strCache>
                <c:ptCount val="1"/>
                <c:pt idx="0">
                  <c:v>Electricity, medium voltage {CN}| market group for | Cut-off, U</c:v>
                </c:pt>
              </c:strCache>
            </c:strRef>
          </c:tx>
          <c:spPr>
            <a:solidFill>
              <a:schemeClr val="accent1">
                <a:lumMod val="80000"/>
              </a:schemeClr>
            </a:solidFill>
            <a:ln>
              <a:noFill/>
            </a:ln>
            <a:effectLst/>
          </c:spPr>
          <c:invertIfNegative val="0"/>
          <c:cat>
            <c:strRef>
              <c:f>contribution_pack!$A$8:$A$23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contribution_pack!$V$8:$V$23</c:f>
              <c:numCache>
                <c:formatCode>0.00E+00</c:formatCode>
                <c:ptCount val="16"/>
                <c:pt idx="0">
                  <c:v>2.9470735999999998E-4</c:v>
                </c:pt>
                <c:pt idx="1">
                  <c:v>1.8587756999999998E-12</c:v>
                </c:pt>
                <c:pt idx="2">
                  <c:v>1.6690745000000001E-6</c:v>
                </c:pt>
                <c:pt idx="3">
                  <c:v>9.0186831999999996E-7</c:v>
                </c:pt>
                <c:pt idx="4">
                  <c:v>2.0872485000000001E-11</c:v>
                </c:pt>
                <c:pt idx="5">
                  <c:v>2.9182419000000002E-12</c:v>
                </c:pt>
                <c:pt idx="6">
                  <c:v>5.9492385999999994E-14</c:v>
                </c:pt>
                <c:pt idx="7">
                  <c:v>1.5289479999999999E-6</c:v>
                </c:pt>
                <c:pt idx="8">
                  <c:v>6.1969416999999996E-9</c:v>
                </c:pt>
                <c:pt idx="9">
                  <c:v>3.1645877E-7</c:v>
                </c:pt>
                <c:pt idx="10">
                  <c:v>3.4816843999999998E-6</c:v>
                </c:pt>
                <c:pt idx="11">
                  <c:v>7.4473261000000002E-3</c:v>
                </c:pt>
                <c:pt idx="12">
                  <c:v>5.5965940000000003E-4</c:v>
                </c:pt>
                <c:pt idx="13">
                  <c:v>3.0147429000000001E-5</c:v>
                </c:pt>
                <c:pt idx="14">
                  <c:v>2.5978716000000001E-3</c:v>
                </c:pt>
                <c:pt idx="15">
                  <c:v>3.8332791E-10</c:v>
                </c:pt>
              </c:numCache>
            </c:numRef>
          </c:val>
          <c:extLst>
            <c:ext xmlns:c16="http://schemas.microsoft.com/office/drawing/2014/chart" uri="{C3380CC4-5D6E-409C-BE32-E72D297353CC}">
              <c16:uniqueId val="{00000015-098C-47AB-8AD4-5BD3FBEA6519}"/>
            </c:ext>
          </c:extLst>
        </c:ser>
        <c:dLbls>
          <c:showLegendKey val="0"/>
          <c:showVal val="0"/>
          <c:showCatName val="0"/>
          <c:showSerName val="0"/>
          <c:showPercent val="0"/>
          <c:showBubbleSize val="0"/>
        </c:dLbls>
        <c:gapWidth val="150"/>
        <c:overlap val="100"/>
        <c:axId val="513835240"/>
        <c:axId val="513832616"/>
      </c:barChart>
      <c:catAx>
        <c:axId val="513835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832616"/>
        <c:crosses val="autoZero"/>
        <c:auto val="1"/>
        <c:lblAlgn val="ctr"/>
        <c:lblOffset val="100"/>
        <c:noMultiLvlLbl val="0"/>
      </c:catAx>
      <c:valAx>
        <c:axId val="5138326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835240"/>
        <c:crosses val="autoZero"/>
        <c:crossBetween val="between"/>
      </c:valAx>
      <c:spPr>
        <a:noFill/>
        <a:ln>
          <a:noFill/>
        </a:ln>
        <a:effectLst/>
      </c:spPr>
    </c:plotArea>
    <c:legend>
      <c:legendPos val="b"/>
      <c:layout>
        <c:manualLayout>
          <c:xMode val="edge"/>
          <c:yMode val="edge"/>
          <c:x val="4.0459453618564394E-2"/>
          <c:y val="0.86322251239111103"/>
          <c:w val="0.93896344234930884"/>
          <c:h val="0.136147788288604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271671380079798E-2"/>
          <c:y val="7.6946059365571501E-2"/>
          <c:w val="0.92349759222475403"/>
          <c:h val="0.58552843722281112"/>
        </c:manualLayout>
      </c:layout>
      <c:barChart>
        <c:barDir val="col"/>
        <c:grouping val="percentStacked"/>
        <c:varyColors val="0"/>
        <c:ser>
          <c:idx val="0"/>
          <c:order val="0"/>
          <c:tx>
            <c:strRef>
              <c:f>contribution_pack!$D$7</c:f>
              <c:strCache>
                <c:ptCount val="1"/>
                <c:pt idx="0">
                  <c:v>Battery cell </c:v>
                </c:pt>
              </c:strCache>
            </c:strRef>
          </c:tx>
          <c:spPr>
            <a:solidFill>
              <a:schemeClr val="accent1"/>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contribution_pack!$D$28:$D$43</c:f>
              <c:numCache>
                <c:formatCode>0.00E+00</c:formatCode>
                <c:ptCount val="16"/>
                <c:pt idx="0">
                  <c:v>11.552603</c:v>
                </c:pt>
                <c:pt idx="1">
                  <c:v>9.5078457E-7</c:v>
                </c:pt>
                <c:pt idx="2">
                  <c:v>0.29160612000000002</c:v>
                </c:pt>
                <c:pt idx="3">
                  <c:v>8.3088674000000001E-2</c:v>
                </c:pt>
                <c:pt idx="4">
                  <c:v>2.0688734999999998E-6</c:v>
                </c:pt>
                <c:pt idx="5">
                  <c:v>1.0390083E-6</c:v>
                </c:pt>
                <c:pt idx="6">
                  <c:v>1.8632273999999999E-8</c:v>
                </c:pt>
                <c:pt idx="7">
                  <c:v>0.59177555000000004</c:v>
                </c:pt>
                <c:pt idx="8">
                  <c:v>9.5187802999999996E-4</c:v>
                </c:pt>
                <c:pt idx="9">
                  <c:v>1.7136894E-2</c:v>
                </c:pt>
                <c:pt idx="10">
                  <c:v>0.23625744000000001</c:v>
                </c:pt>
                <c:pt idx="11">
                  <c:v>1560.6379999999999</c:v>
                </c:pt>
                <c:pt idx="12">
                  <c:v>49.454306000000003</c:v>
                </c:pt>
                <c:pt idx="13">
                  <c:v>3.4660967999999999</c:v>
                </c:pt>
                <c:pt idx="14">
                  <c:v>133.47595999999999</c:v>
                </c:pt>
                <c:pt idx="15">
                  <c:v>8.5326347000000001E-4</c:v>
                </c:pt>
              </c:numCache>
            </c:numRef>
          </c:val>
          <c:extLst>
            <c:ext xmlns:c16="http://schemas.microsoft.com/office/drawing/2014/chart" uri="{C3380CC4-5D6E-409C-BE32-E72D297353CC}">
              <c16:uniqueId val="{00000000-DAAD-4893-B4E1-BE5E3734C08A}"/>
            </c:ext>
          </c:extLst>
        </c:ser>
        <c:ser>
          <c:idx val="1"/>
          <c:order val="1"/>
          <c:tx>
            <c:strRef>
              <c:f>contribution_pack!$E$7</c:f>
              <c:strCache>
                <c:ptCount val="1"/>
                <c:pt idx="0">
                  <c:v>Battery module packaging</c:v>
                </c:pt>
              </c:strCache>
            </c:strRef>
          </c:tx>
          <c:spPr>
            <a:solidFill>
              <a:schemeClr val="accent2"/>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contribution_pack!$E$28:$E$43</c:f>
              <c:numCache>
                <c:formatCode>0.00E+00</c:formatCode>
                <c:ptCount val="16"/>
                <c:pt idx="0">
                  <c:v>1.2178654</c:v>
                </c:pt>
                <c:pt idx="1">
                  <c:v>6.6739287999999999E-8</c:v>
                </c:pt>
                <c:pt idx="2">
                  <c:v>3.7762451000000002E-2</c:v>
                </c:pt>
                <c:pt idx="3">
                  <c:v>6.0765228999999999E-3</c:v>
                </c:pt>
                <c:pt idx="4">
                  <c:v>8.8495279000000006E-8</c:v>
                </c:pt>
                <c:pt idx="5">
                  <c:v>6.2006032999999993E-8</c:v>
                </c:pt>
                <c:pt idx="6">
                  <c:v>1.6511603E-9</c:v>
                </c:pt>
                <c:pt idx="7">
                  <c:v>1.1985371999999999E-2</c:v>
                </c:pt>
                <c:pt idx="8">
                  <c:v>1.3700410000000001E-4</c:v>
                </c:pt>
                <c:pt idx="9">
                  <c:v>1.6424189E-3</c:v>
                </c:pt>
                <c:pt idx="10">
                  <c:v>1.9490638000000001E-2</c:v>
                </c:pt>
                <c:pt idx="11">
                  <c:v>111.06108999999999</c:v>
                </c:pt>
                <c:pt idx="12">
                  <c:v>6.6589748000000002</c:v>
                </c:pt>
                <c:pt idx="13">
                  <c:v>0.26897079000000002</c:v>
                </c:pt>
                <c:pt idx="14">
                  <c:v>13.59337</c:v>
                </c:pt>
                <c:pt idx="15">
                  <c:v>4.5157679000000002E-4</c:v>
                </c:pt>
              </c:numCache>
            </c:numRef>
          </c:val>
          <c:extLst>
            <c:ext xmlns:c16="http://schemas.microsoft.com/office/drawing/2014/chart" uri="{C3380CC4-5D6E-409C-BE32-E72D297353CC}">
              <c16:uniqueId val="{00000001-DAAD-4893-B4E1-BE5E3734C08A}"/>
            </c:ext>
          </c:extLst>
        </c:ser>
        <c:ser>
          <c:idx val="2"/>
          <c:order val="2"/>
          <c:tx>
            <c:strRef>
              <c:f>contribution_pack!$F$7</c:f>
              <c:strCache>
                <c:ptCount val="1"/>
                <c:pt idx="0">
                  <c:v>Aluminium, wrought alloy {GLO}| market for | Cut-off, U</c:v>
                </c:pt>
              </c:strCache>
            </c:strRef>
          </c:tx>
          <c:spPr>
            <a:solidFill>
              <a:schemeClr val="accent3"/>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contribution_pack!$F$28:$F$43</c:f>
              <c:numCache>
                <c:formatCode>0.00E+00</c:formatCode>
                <c:ptCount val="16"/>
                <c:pt idx="0">
                  <c:v>1.8743888</c:v>
                </c:pt>
                <c:pt idx="1">
                  <c:v>7.4259459000000001E-8</c:v>
                </c:pt>
                <c:pt idx="2">
                  <c:v>2.7107320000000001E-2</c:v>
                </c:pt>
                <c:pt idx="3">
                  <c:v>6.0510130000000001E-3</c:v>
                </c:pt>
                <c:pt idx="4">
                  <c:v>1.4315796E-7</c:v>
                </c:pt>
                <c:pt idx="5">
                  <c:v>4.9245463000000001E-8</c:v>
                </c:pt>
                <c:pt idx="6">
                  <c:v>2.6440391E-9</c:v>
                </c:pt>
                <c:pt idx="7">
                  <c:v>1.2425185E-2</c:v>
                </c:pt>
                <c:pt idx="8">
                  <c:v>6.4183367999999999E-5</c:v>
                </c:pt>
                <c:pt idx="9">
                  <c:v>1.8494523E-3</c:v>
                </c:pt>
                <c:pt idx="10">
                  <c:v>2.0626611999999999E-2</c:v>
                </c:pt>
                <c:pt idx="11">
                  <c:v>50.369044000000002</c:v>
                </c:pt>
                <c:pt idx="12">
                  <c:v>3.4619404</c:v>
                </c:pt>
                <c:pt idx="13">
                  <c:v>0.26226506999999999</c:v>
                </c:pt>
                <c:pt idx="14">
                  <c:v>17.729367</c:v>
                </c:pt>
                <c:pt idx="15">
                  <c:v>6.6138138000000002E-6</c:v>
                </c:pt>
              </c:numCache>
            </c:numRef>
          </c:val>
          <c:extLst>
            <c:ext xmlns:c16="http://schemas.microsoft.com/office/drawing/2014/chart" uri="{C3380CC4-5D6E-409C-BE32-E72D297353CC}">
              <c16:uniqueId val="{00000002-DAAD-4893-B4E1-BE5E3734C08A}"/>
            </c:ext>
          </c:extLst>
        </c:ser>
        <c:ser>
          <c:idx val="3"/>
          <c:order val="3"/>
          <c:tx>
            <c:strRef>
              <c:f>contribution_pack!$G$7</c:f>
              <c:strCache>
                <c:ptCount val="1"/>
                <c:pt idx="0">
                  <c:v>Impact extrusion of aluminium, 1 stroke {GLO}| market for | Cut-off, U</c:v>
                </c:pt>
              </c:strCache>
            </c:strRef>
          </c:tx>
          <c:spPr>
            <a:solidFill>
              <a:schemeClr val="accent4"/>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contribution_pack!$G$28:$G$43</c:f>
              <c:numCache>
                <c:formatCode>0.00E+00</c:formatCode>
                <c:ptCount val="16"/>
                <c:pt idx="0">
                  <c:v>0.13513762000000001</c:v>
                </c:pt>
                <c:pt idx="1">
                  <c:v>8.3181464000000008E-9</c:v>
                </c:pt>
                <c:pt idx="2">
                  <c:v>7.348813E-3</c:v>
                </c:pt>
                <c:pt idx="3">
                  <c:v>3.1788805999999998E-4</c:v>
                </c:pt>
                <c:pt idx="4">
                  <c:v>6.0264383999999996E-9</c:v>
                </c:pt>
                <c:pt idx="5">
                  <c:v>1.9257077000000001E-9</c:v>
                </c:pt>
                <c:pt idx="6">
                  <c:v>1.2762885999999999E-10</c:v>
                </c:pt>
                <c:pt idx="7">
                  <c:v>5.8110021999999996E-4</c:v>
                </c:pt>
                <c:pt idx="8">
                  <c:v>7.7385131999999993E-6</c:v>
                </c:pt>
                <c:pt idx="9">
                  <c:v>1.3533393000000001E-4</c:v>
                </c:pt>
                <c:pt idx="10">
                  <c:v>1.2188595E-3</c:v>
                </c:pt>
                <c:pt idx="11">
                  <c:v>12.089273</c:v>
                </c:pt>
                <c:pt idx="12">
                  <c:v>1.1171895999999999</c:v>
                </c:pt>
                <c:pt idx="13">
                  <c:v>2.6823785999999999E-2</c:v>
                </c:pt>
                <c:pt idx="14">
                  <c:v>1.5887795</c:v>
                </c:pt>
                <c:pt idx="15">
                  <c:v>5.8532470000000004E-6</c:v>
                </c:pt>
              </c:numCache>
            </c:numRef>
          </c:val>
          <c:extLst>
            <c:ext xmlns:c16="http://schemas.microsoft.com/office/drawing/2014/chart" uri="{C3380CC4-5D6E-409C-BE32-E72D297353CC}">
              <c16:uniqueId val="{00000003-DAAD-4893-B4E1-BE5E3734C08A}"/>
            </c:ext>
          </c:extLst>
        </c:ser>
        <c:ser>
          <c:idx val="4"/>
          <c:order val="4"/>
          <c:tx>
            <c:strRef>
              <c:f>contribution_pack!$H$7</c:f>
              <c:strCache>
                <c:ptCount val="1"/>
                <c:pt idx="0">
                  <c:v>Polyethylene, high density, granulate {GLO}| market for | Cut-off, U</c:v>
                </c:pt>
              </c:strCache>
            </c:strRef>
          </c:tx>
          <c:spPr>
            <a:solidFill>
              <a:schemeClr val="accent5"/>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contribution_pack!$H$28:$H$43</c:f>
              <c:numCache>
                <c:formatCode>0.00E+00</c:formatCode>
                <c:ptCount val="16"/>
                <c:pt idx="0">
                  <c:v>9.7576898000000002E-3</c:v>
                </c:pt>
                <c:pt idx="1">
                  <c:v>2.6392580999999999E-10</c:v>
                </c:pt>
                <c:pt idx="2">
                  <c:v>1.4256480999999999E-4</c:v>
                </c:pt>
                <c:pt idx="3">
                  <c:v>3.4039723999999998E-5</c:v>
                </c:pt>
                <c:pt idx="4">
                  <c:v>3.3230453999999999E-10</c:v>
                </c:pt>
                <c:pt idx="5">
                  <c:v>7.0335396000000004E-11</c:v>
                </c:pt>
                <c:pt idx="6">
                  <c:v>2.7342468000000002E-12</c:v>
                </c:pt>
                <c:pt idx="7">
                  <c:v>3.9774392999999997E-5</c:v>
                </c:pt>
                <c:pt idx="8">
                  <c:v>2.0038843999999999E-7</c:v>
                </c:pt>
                <c:pt idx="9">
                  <c:v>7.3225069999999998E-6</c:v>
                </c:pt>
                <c:pt idx="10">
                  <c:v>8.1535152E-5</c:v>
                </c:pt>
                <c:pt idx="11">
                  <c:v>0.10700034</c:v>
                </c:pt>
                <c:pt idx="12">
                  <c:v>1.4398993000000001E-2</c:v>
                </c:pt>
                <c:pt idx="13">
                  <c:v>4.3818510999999996E-3</c:v>
                </c:pt>
                <c:pt idx="14">
                  <c:v>0.29968266999999998</c:v>
                </c:pt>
                <c:pt idx="15">
                  <c:v>9.0802871999999995E-8</c:v>
                </c:pt>
              </c:numCache>
            </c:numRef>
          </c:val>
          <c:extLst>
            <c:ext xmlns:c16="http://schemas.microsoft.com/office/drawing/2014/chart" uri="{C3380CC4-5D6E-409C-BE32-E72D297353CC}">
              <c16:uniqueId val="{00000004-DAAD-4893-B4E1-BE5E3734C08A}"/>
            </c:ext>
          </c:extLst>
        </c:ser>
        <c:ser>
          <c:idx val="5"/>
          <c:order val="5"/>
          <c:tx>
            <c:strRef>
              <c:f>contribution_pack!$I$7</c:f>
              <c:strCache>
                <c:ptCount val="1"/>
                <c:pt idx="0">
                  <c:v>Injection moulding {GLO}| market for | Cut-off, U</c:v>
                </c:pt>
              </c:strCache>
            </c:strRef>
          </c:tx>
          <c:spPr>
            <a:solidFill>
              <a:schemeClr val="accent6"/>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contribution_pack!$I$28:$I$43</c:f>
              <c:numCache>
                <c:formatCode>0.00E+00</c:formatCode>
                <c:ptCount val="16"/>
                <c:pt idx="0">
                  <c:v>5.3043142000000001E-3</c:v>
                </c:pt>
                <c:pt idx="1">
                  <c:v>4.7832941E-10</c:v>
                </c:pt>
                <c:pt idx="2">
                  <c:v>3.3685829999999999E-4</c:v>
                </c:pt>
                <c:pt idx="3">
                  <c:v>1.4329615E-5</c:v>
                </c:pt>
                <c:pt idx="4">
                  <c:v>1.8038087E-10</c:v>
                </c:pt>
                <c:pt idx="5">
                  <c:v>4.6609289999999998E-11</c:v>
                </c:pt>
                <c:pt idx="6">
                  <c:v>1.8076932E-12</c:v>
                </c:pt>
                <c:pt idx="7">
                  <c:v>2.5393555000000001E-5</c:v>
                </c:pt>
                <c:pt idx="8">
                  <c:v>2.6335691999999999E-7</c:v>
                </c:pt>
                <c:pt idx="9">
                  <c:v>4.1783864000000003E-6</c:v>
                </c:pt>
                <c:pt idx="10">
                  <c:v>4.7862918000000001E-5</c:v>
                </c:pt>
                <c:pt idx="11">
                  <c:v>9.0100902999999996E-2</c:v>
                </c:pt>
                <c:pt idx="12">
                  <c:v>3.7966628000000002E-2</c:v>
                </c:pt>
                <c:pt idx="13">
                  <c:v>1.6570332000000001E-3</c:v>
                </c:pt>
                <c:pt idx="14">
                  <c:v>8.3576294999999995E-2</c:v>
                </c:pt>
                <c:pt idx="15">
                  <c:v>3.7750696999999998E-8</c:v>
                </c:pt>
              </c:numCache>
            </c:numRef>
          </c:val>
          <c:extLst>
            <c:ext xmlns:c16="http://schemas.microsoft.com/office/drawing/2014/chart" uri="{C3380CC4-5D6E-409C-BE32-E72D297353CC}">
              <c16:uniqueId val="{00000005-DAAD-4893-B4E1-BE5E3734C08A}"/>
            </c:ext>
          </c:extLst>
        </c:ser>
        <c:ser>
          <c:idx val="6"/>
          <c:order val="6"/>
          <c:tx>
            <c:strRef>
              <c:f>contribution_pack!$J$7</c:f>
              <c:strCache>
                <c:ptCount val="1"/>
                <c:pt idx="0">
                  <c:v>Reinforcing steel {GLO}| market for | Cut-off, U</c:v>
                </c:pt>
              </c:strCache>
            </c:strRef>
          </c:tx>
          <c:spPr>
            <a:solidFill>
              <a:schemeClr val="accent1">
                <a:lumMod val="60000"/>
              </a:schemeClr>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contribution_pack!$J$28:$J$43</c:f>
              <c:numCache>
                <c:formatCode>0.00E+00</c:formatCode>
                <c:ptCount val="16"/>
                <c:pt idx="0">
                  <c:v>1.3660443E-2</c:v>
                </c:pt>
                <c:pt idx="1">
                  <c:v>7.8366435E-10</c:v>
                </c:pt>
                <c:pt idx="2">
                  <c:v>2.8734177E-4</c:v>
                </c:pt>
                <c:pt idx="3">
                  <c:v>6.7750656999999997E-5</c:v>
                </c:pt>
                <c:pt idx="4">
                  <c:v>1.1588705999999999E-9</c:v>
                </c:pt>
                <c:pt idx="5">
                  <c:v>7.3558730000000001E-10</c:v>
                </c:pt>
                <c:pt idx="6">
                  <c:v>7.9863583999999997E-11</c:v>
                </c:pt>
                <c:pt idx="7">
                  <c:v>6.3702874999999994E-5</c:v>
                </c:pt>
                <c:pt idx="8">
                  <c:v>6.5937698999999995E-7</c:v>
                </c:pt>
                <c:pt idx="9">
                  <c:v>1.3259498E-5</c:v>
                </c:pt>
                <c:pt idx="10">
                  <c:v>1.4422204000000001E-4</c:v>
                </c:pt>
                <c:pt idx="11">
                  <c:v>0.44833346000000002</c:v>
                </c:pt>
                <c:pt idx="12">
                  <c:v>4.3156345999999998E-2</c:v>
                </c:pt>
                <c:pt idx="13">
                  <c:v>4.1853515000000001E-3</c:v>
                </c:pt>
                <c:pt idx="14">
                  <c:v>0.14520775999999999</c:v>
                </c:pt>
                <c:pt idx="15">
                  <c:v>1.1697511E-7</c:v>
                </c:pt>
              </c:numCache>
            </c:numRef>
          </c:val>
          <c:extLst>
            <c:ext xmlns:c16="http://schemas.microsoft.com/office/drawing/2014/chart" uri="{C3380CC4-5D6E-409C-BE32-E72D297353CC}">
              <c16:uniqueId val="{00000006-DAAD-4893-B4E1-BE5E3734C08A}"/>
            </c:ext>
          </c:extLst>
        </c:ser>
        <c:ser>
          <c:idx val="7"/>
          <c:order val="7"/>
          <c:tx>
            <c:strRef>
              <c:f>contribution_pack!$K$7</c:f>
              <c:strCache>
                <c:ptCount val="1"/>
                <c:pt idx="0">
                  <c:v>Sheet rolling, steel {GLO}| market for | Cut-off, U</c:v>
                </c:pt>
              </c:strCache>
            </c:strRef>
          </c:tx>
          <c:spPr>
            <a:solidFill>
              <a:schemeClr val="accent2">
                <a:lumMod val="60000"/>
              </a:schemeClr>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contribution_pack!$K$28:$K$43</c:f>
              <c:numCache>
                <c:formatCode>0.00E+00</c:formatCode>
                <c:ptCount val="16"/>
                <c:pt idx="0">
                  <c:v>2.4785172E-3</c:v>
                </c:pt>
                <c:pt idx="1">
                  <c:v>1.5390034999999999E-10</c:v>
                </c:pt>
                <c:pt idx="2">
                  <c:v>8.7894707000000003E-5</c:v>
                </c:pt>
                <c:pt idx="3">
                  <c:v>1.0123869999999999E-5</c:v>
                </c:pt>
                <c:pt idx="4">
                  <c:v>1.3923711E-10</c:v>
                </c:pt>
                <c:pt idx="5">
                  <c:v>4.9300095999999998E-11</c:v>
                </c:pt>
                <c:pt idx="6">
                  <c:v>8.6273730000000007E-12</c:v>
                </c:pt>
                <c:pt idx="7">
                  <c:v>1.1864954E-5</c:v>
                </c:pt>
                <c:pt idx="8">
                  <c:v>1.0977617E-7</c:v>
                </c:pt>
                <c:pt idx="9">
                  <c:v>2.2750250999999998E-6</c:v>
                </c:pt>
                <c:pt idx="10">
                  <c:v>2.5307548999999999E-5</c:v>
                </c:pt>
                <c:pt idx="11">
                  <c:v>5.9705083999999999E-2</c:v>
                </c:pt>
                <c:pt idx="12">
                  <c:v>7.6779611999999997E-3</c:v>
                </c:pt>
                <c:pt idx="13">
                  <c:v>1.8529561E-3</c:v>
                </c:pt>
                <c:pt idx="14">
                  <c:v>3.0382470000000002E-2</c:v>
                </c:pt>
                <c:pt idx="15">
                  <c:v>2.2070332999999999E-8</c:v>
                </c:pt>
              </c:numCache>
            </c:numRef>
          </c:val>
          <c:extLst>
            <c:ext xmlns:c16="http://schemas.microsoft.com/office/drawing/2014/chart" uri="{C3380CC4-5D6E-409C-BE32-E72D297353CC}">
              <c16:uniqueId val="{00000007-DAAD-4893-B4E1-BE5E3734C08A}"/>
            </c:ext>
          </c:extLst>
        </c:ser>
        <c:ser>
          <c:idx val="8"/>
          <c:order val="8"/>
          <c:tx>
            <c:strRef>
              <c:f>contribution_pack!$L$7</c:f>
              <c:strCache>
                <c:ptCount val="1"/>
                <c:pt idx="0">
                  <c:v>Copper {GLO}| market for | Cut-off, U</c:v>
                </c:pt>
              </c:strCache>
            </c:strRef>
          </c:tx>
          <c:spPr>
            <a:solidFill>
              <a:schemeClr val="accent3">
                <a:lumMod val="60000"/>
              </a:schemeClr>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contribution_pack!$L$28:$L$43</c:f>
              <c:numCache>
                <c:formatCode>0.00E+00</c:formatCode>
                <c:ptCount val="16"/>
                <c:pt idx="0">
                  <c:v>4.8113091000000002E-3</c:v>
                </c:pt>
                <c:pt idx="1">
                  <c:v>2.8090209999999998E-10</c:v>
                </c:pt>
                <c:pt idx="2">
                  <c:v>1.4821877E-4</c:v>
                </c:pt>
                <c:pt idx="3">
                  <c:v>1.0309695E-4</c:v>
                </c:pt>
                <c:pt idx="4">
                  <c:v>1.1864158E-9</c:v>
                </c:pt>
                <c:pt idx="5">
                  <c:v>6.3501143999999999E-9</c:v>
                </c:pt>
                <c:pt idx="6">
                  <c:v>7.4195223000000002E-11</c:v>
                </c:pt>
                <c:pt idx="7">
                  <c:v>5.5360507000000003E-4</c:v>
                </c:pt>
                <c:pt idx="8">
                  <c:v>4.4083406999999996E-6</c:v>
                </c:pt>
                <c:pt idx="9">
                  <c:v>2.5499391000000001E-5</c:v>
                </c:pt>
                <c:pt idx="10">
                  <c:v>3.8691250000000001E-4</c:v>
                </c:pt>
                <c:pt idx="11">
                  <c:v>5.3357654999999999</c:v>
                </c:pt>
                <c:pt idx="12">
                  <c:v>7.3330524999999994E-2</c:v>
                </c:pt>
                <c:pt idx="13">
                  <c:v>3.9921970000000003E-3</c:v>
                </c:pt>
                <c:pt idx="14">
                  <c:v>5.0598704000000001E-2</c:v>
                </c:pt>
                <c:pt idx="15">
                  <c:v>3.1578156999999998E-6</c:v>
                </c:pt>
              </c:numCache>
            </c:numRef>
          </c:val>
          <c:extLst>
            <c:ext xmlns:c16="http://schemas.microsoft.com/office/drawing/2014/chart" uri="{C3380CC4-5D6E-409C-BE32-E72D297353CC}">
              <c16:uniqueId val="{00000008-DAAD-4893-B4E1-BE5E3734C08A}"/>
            </c:ext>
          </c:extLst>
        </c:ser>
        <c:ser>
          <c:idx val="9"/>
          <c:order val="9"/>
          <c:tx>
            <c:strRef>
              <c:f>contribution_pack!$M$7</c:f>
              <c:strCache>
                <c:ptCount val="1"/>
                <c:pt idx="0">
                  <c:v>Sheet rolling, copper {GLO}| market for | Cut-off, U</c:v>
                </c:pt>
              </c:strCache>
            </c:strRef>
          </c:tx>
          <c:spPr>
            <a:solidFill>
              <a:schemeClr val="accent4">
                <a:lumMod val="60000"/>
              </a:schemeClr>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contribution_pack!$M$28:$M$43</c:f>
              <c:numCache>
                <c:formatCode>0.00E+00</c:formatCode>
                <c:ptCount val="16"/>
                <c:pt idx="0">
                  <c:v>4.7421517000000002E-4</c:v>
                </c:pt>
                <c:pt idx="1">
                  <c:v>2.8458790000000001E-11</c:v>
                </c:pt>
                <c:pt idx="2">
                  <c:v>2.0162392E-5</c:v>
                </c:pt>
                <c:pt idx="3">
                  <c:v>5.2654264999999996E-6</c:v>
                </c:pt>
                <c:pt idx="4">
                  <c:v>6.1531384999999998E-11</c:v>
                </c:pt>
                <c:pt idx="5">
                  <c:v>2.5439851E-10</c:v>
                </c:pt>
                <c:pt idx="6">
                  <c:v>3.1002334E-12</c:v>
                </c:pt>
                <c:pt idx="7">
                  <c:v>2.3386172E-5</c:v>
                </c:pt>
                <c:pt idx="8">
                  <c:v>1.8767688000000001E-7</c:v>
                </c:pt>
                <c:pt idx="9">
                  <c:v>1.2288917999999999E-6</c:v>
                </c:pt>
                <c:pt idx="10">
                  <c:v>1.7721604000000001E-5</c:v>
                </c:pt>
                <c:pt idx="11">
                  <c:v>0.22494832000000001</c:v>
                </c:pt>
                <c:pt idx="12">
                  <c:v>4.1497093999999998E-3</c:v>
                </c:pt>
                <c:pt idx="13">
                  <c:v>4.8279306E-4</c:v>
                </c:pt>
                <c:pt idx="14">
                  <c:v>5.6049927999999999E-3</c:v>
                </c:pt>
                <c:pt idx="15">
                  <c:v>1.2602467000000001E-7</c:v>
                </c:pt>
              </c:numCache>
            </c:numRef>
          </c:val>
          <c:extLst>
            <c:ext xmlns:c16="http://schemas.microsoft.com/office/drawing/2014/chart" uri="{C3380CC4-5D6E-409C-BE32-E72D297353CC}">
              <c16:uniqueId val="{00000009-DAAD-4893-B4E1-BE5E3734C08A}"/>
            </c:ext>
          </c:extLst>
        </c:ser>
        <c:ser>
          <c:idx val="10"/>
          <c:order val="10"/>
          <c:tx>
            <c:strRef>
              <c:f>contribution_pack!$N$7</c:f>
              <c:strCache>
                <c:ptCount val="1"/>
                <c:pt idx="0">
                  <c:v>Glass fibre reinforced plastic, polyamide, injection moulded {GLO}| market for | Cut-off, U</c:v>
                </c:pt>
              </c:strCache>
            </c:strRef>
          </c:tx>
          <c:spPr>
            <a:solidFill>
              <a:schemeClr val="accent5">
                <a:lumMod val="60000"/>
              </a:schemeClr>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contribution_pack!$N$28:$N$43</c:f>
              <c:numCache>
                <c:formatCode>0.00E+00</c:formatCode>
                <c:ptCount val="16"/>
                <c:pt idx="0">
                  <c:v>3.0700722000000001E-3</c:v>
                </c:pt>
                <c:pt idx="1">
                  <c:v>5.6803433999999999E-11</c:v>
                </c:pt>
                <c:pt idx="2">
                  <c:v>3.6683329000000001E-5</c:v>
                </c:pt>
                <c:pt idx="3">
                  <c:v>7.4334087999999996E-6</c:v>
                </c:pt>
                <c:pt idx="4">
                  <c:v>1.4172933999999999E-10</c:v>
                </c:pt>
                <c:pt idx="5">
                  <c:v>8.8654239000000006E-12</c:v>
                </c:pt>
                <c:pt idx="6">
                  <c:v>5.1694847000000002E-13</c:v>
                </c:pt>
                <c:pt idx="7">
                  <c:v>1.2934965E-5</c:v>
                </c:pt>
                <c:pt idx="8">
                  <c:v>3.5456578999999999E-8</c:v>
                </c:pt>
                <c:pt idx="9">
                  <c:v>4.0246318999999996E-6</c:v>
                </c:pt>
                <c:pt idx="10">
                  <c:v>2.1919661E-5</c:v>
                </c:pt>
                <c:pt idx="11">
                  <c:v>1.1292698E-2</c:v>
                </c:pt>
                <c:pt idx="12">
                  <c:v>3.8975756000000001E-3</c:v>
                </c:pt>
                <c:pt idx="13">
                  <c:v>2.9208653E-3</c:v>
                </c:pt>
                <c:pt idx="14">
                  <c:v>4.4067038000000003E-2</c:v>
                </c:pt>
                <c:pt idx="15">
                  <c:v>5.7022143E-9</c:v>
                </c:pt>
              </c:numCache>
            </c:numRef>
          </c:val>
          <c:extLst>
            <c:ext xmlns:c16="http://schemas.microsoft.com/office/drawing/2014/chart" uri="{C3380CC4-5D6E-409C-BE32-E72D297353CC}">
              <c16:uniqueId val="{0000000A-DAAD-4893-B4E1-BE5E3734C08A}"/>
            </c:ext>
          </c:extLst>
        </c:ser>
        <c:ser>
          <c:idx val="11"/>
          <c:order val="11"/>
          <c:tx>
            <c:strRef>
              <c:f>contribution_pack!$O$7</c:f>
              <c:strCache>
                <c:ptCount val="1"/>
                <c:pt idx="0">
                  <c:v>Ethylene glycol {GLO}| market for | Cut-off, U</c:v>
                </c:pt>
              </c:strCache>
            </c:strRef>
          </c:tx>
          <c:spPr>
            <a:solidFill>
              <a:schemeClr val="accent6">
                <a:lumMod val="60000"/>
              </a:schemeClr>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contribution_pack!$O$28:$O$43</c:f>
              <c:numCache>
                <c:formatCode>0.00E+00</c:formatCode>
                <c:ptCount val="16"/>
                <c:pt idx="0">
                  <c:v>4.8613692999999999E-2</c:v>
                </c:pt>
                <c:pt idx="1">
                  <c:v>1.1425352E-9</c:v>
                </c:pt>
                <c:pt idx="2">
                  <c:v>1.1602089999999999E-3</c:v>
                </c:pt>
                <c:pt idx="3">
                  <c:v>1.5365459999999999E-4</c:v>
                </c:pt>
                <c:pt idx="4">
                  <c:v>1.6485235000000001E-9</c:v>
                </c:pt>
                <c:pt idx="5">
                  <c:v>5.0573962999999996E-10</c:v>
                </c:pt>
                <c:pt idx="6">
                  <c:v>1.6069059999999999E-11</c:v>
                </c:pt>
                <c:pt idx="7">
                  <c:v>2.1440685000000001E-4</c:v>
                </c:pt>
                <c:pt idx="8">
                  <c:v>1.5344655000000001E-6</c:v>
                </c:pt>
                <c:pt idx="9">
                  <c:v>3.7653254999999998E-5</c:v>
                </c:pt>
                <c:pt idx="10">
                  <c:v>4.2530151999999998E-4</c:v>
                </c:pt>
                <c:pt idx="11">
                  <c:v>0.72775111999999997</c:v>
                </c:pt>
                <c:pt idx="12">
                  <c:v>9.7468220999999994E-2</c:v>
                </c:pt>
                <c:pt idx="13">
                  <c:v>2.3532509E-2</c:v>
                </c:pt>
                <c:pt idx="14">
                  <c:v>1.1417659</c:v>
                </c:pt>
                <c:pt idx="15">
                  <c:v>7.4822108000000001E-7</c:v>
                </c:pt>
              </c:numCache>
            </c:numRef>
          </c:val>
          <c:extLst>
            <c:ext xmlns:c16="http://schemas.microsoft.com/office/drawing/2014/chart" uri="{C3380CC4-5D6E-409C-BE32-E72D297353CC}">
              <c16:uniqueId val="{0000000B-DAAD-4893-B4E1-BE5E3734C08A}"/>
            </c:ext>
          </c:extLst>
        </c:ser>
        <c:ser>
          <c:idx val="12"/>
          <c:order val="12"/>
          <c:tx>
            <c:strRef>
              <c:f>contribution_pack!$P$7</c:f>
              <c:strCache>
                <c:ptCount val="1"/>
                <c:pt idx="0">
                  <c:v>Tap water {RoW}| market for | Cut-off, U</c:v>
                </c:pt>
              </c:strCache>
            </c:strRef>
          </c:tx>
          <c:spPr>
            <a:solidFill>
              <a:schemeClr val="accent1">
                <a:lumMod val="80000"/>
                <a:lumOff val="20000"/>
              </a:schemeClr>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contribution_pack!$P$28:$P$43</c:f>
              <c:numCache>
                <c:formatCode>0.00E+00</c:formatCode>
                <c:ptCount val="16"/>
                <c:pt idx="0">
                  <c:v>2.5312181999999999E-5</c:v>
                </c:pt>
                <c:pt idx="1">
                  <c:v>1.6472576E-12</c:v>
                </c:pt>
                <c:pt idx="2">
                  <c:v>1.7375281E-6</c:v>
                </c:pt>
                <c:pt idx="3">
                  <c:v>7.5976901000000004E-8</c:v>
                </c:pt>
                <c:pt idx="4">
                  <c:v>1.2883853E-12</c:v>
                </c:pt>
                <c:pt idx="5">
                  <c:v>1.0299304000000001E-12</c:v>
                </c:pt>
                <c:pt idx="6">
                  <c:v>4.8054911E-14</c:v>
                </c:pt>
                <c:pt idx="7">
                  <c:v>1.2953889999999999E-7</c:v>
                </c:pt>
                <c:pt idx="8">
                  <c:v>1.5384387999999999E-9</c:v>
                </c:pt>
                <c:pt idx="9">
                  <c:v>2.1866067E-8</c:v>
                </c:pt>
                <c:pt idx="10">
                  <c:v>2.4479493E-7</c:v>
                </c:pt>
                <c:pt idx="11">
                  <c:v>5.1549854999999995E-4</c:v>
                </c:pt>
                <c:pt idx="12">
                  <c:v>7.5415911999999997E-5</c:v>
                </c:pt>
                <c:pt idx="13">
                  <c:v>9.8906145E-4</c:v>
                </c:pt>
                <c:pt idx="14">
                  <c:v>3.3464155000000002E-4</c:v>
                </c:pt>
                <c:pt idx="15">
                  <c:v>7.4456877000000005E-10</c:v>
                </c:pt>
              </c:numCache>
            </c:numRef>
          </c:val>
          <c:extLst>
            <c:ext xmlns:c16="http://schemas.microsoft.com/office/drawing/2014/chart" uri="{C3380CC4-5D6E-409C-BE32-E72D297353CC}">
              <c16:uniqueId val="{0000000C-DAAD-4893-B4E1-BE5E3734C08A}"/>
            </c:ext>
          </c:extLst>
        </c:ser>
        <c:ser>
          <c:idx val="13"/>
          <c:order val="13"/>
          <c:tx>
            <c:strRef>
              <c:f>contribution_pack!$Q$7</c:f>
              <c:strCache>
                <c:ptCount val="1"/>
                <c:pt idx="0">
                  <c:v>Aluminium, wrought alloy {GLO}| market for | Cut-off, U</c:v>
                </c:pt>
              </c:strCache>
            </c:strRef>
          </c:tx>
          <c:spPr>
            <a:solidFill>
              <a:schemeClr val="accent2">
                <a:lumMod val="80000"/>
                <a:lumOff val="20000"/>
              </a:schemeClr>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contribution_pack!$Q$28:$Q$43</c:f>
              <c:numCache>
                <c:formatCode>0.00E+00</c:formatCode>
                <c:ptCount val="16"/>
                <c:pt idx="0">
                  <c:v>1.6055392000000002E-2</c:v>
                </c:pt>
                <c:pt idx="1">
                  <c:v>6.3608185999999995E-10</c:v>
                </c:pt>
                <c:pt idx="2">
                  <c:v>2.3219230000000001E-4</c:v>
                </c:pt>
                <c:pt idx="3">
                  <c:v>5.1830967999999998E-5</c:v>
                </c:pt>
                <c:pt idx="4">
                  <c:v>1.2262435E-9</c:v>
                </c:pt>
                <c:pt idx="5">
                  <c:v>4.2182029E-10</c:v>
                </c:pt>
                <c:pt idx="6">
                  <c:v>2.2647961E-11</c:v>
                </c:pt>
                <c:pt idx="7">
                  <c:v>1.0643E-4</c:v>
                </c:pt>
                <c:pt idx="8">
                  <c:v>5.4977342000000005E-7</c:v>
                </c:pt>
                <c:pt idx="9">
                  <c:v>1.5841794000000002E-5</c:v>
                </c:pt>
                <c:pt idx="10">
                  <c:v>1.7668071E-4</c:v>
                </c:pt>
                <c:pt idx="11">
                  <c:v>0.43144450000000001</c:v>
                </c:pt>
                <c:pt idx="12">
                  <c:v>2.9653832000000001E-2</c:v>
                </c:pt>
                <c:pt idx="13">
                  <c:v>2.2464755000000001E-3</c:v>
                </c:pt>
                <c:pt idx="14">
                  <c:v>0.15186387000000001</c:v>
                </c:pt>
                <c:pt idx="15">
                  <c:v>5.6651733000000001E-8</c:v>
                </c:pt>
              </c:numCache>
            </c:numRef>
          </c:val>
          <c:extLst>
            <c:ext xmlns:c16="http://schemas.microsoft.com/office/drawing/2014/chart" uri="{C3380CC4-5D6E-409C-BE32-E72D297353CC}">
              <c16:uniqueId val="{0000000D-DAAD-4893-B4E1-BE5E3734C08A}"/>
            </c:ext>
          </c:extLst>
        </c:ser>
        <c:ser>
          <c:idx val="14"/>
          <c:order val="14"/>
          <c:tx>
            <c:strRef>
              <c:f>contribution_pack!$R$7</c:f>
              <c:strCache>
                <c:ptCount val="1"/>
                <c:pt idx="0">
                  <c:v>Sheet rolling, aluminium {GLO}| market for | Cut-off, U</c:v>
                </c:pt>
              </c:strCache>
            </c:strRef>
          </c:tx>
          <c:spPr>
            <a:solidFill>
              <a:schemeClr val="accent3">
                <a:lumMod val="80000"/>
                <a:lumOff val="20000"/>
              </a:schemeClr>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contribution_pack!$R$28:$R$43</c:f>
              <c:numCache>
                <c:formatCode>0.00E+00</c:formatCode>
                <c:ptCount val="16"/>
                <c:pt idx="0">
                  <c:v>7.9893843999999999E-4</c:v>
                </c:pt>
                <c:pt idx="1">
                  <c:v>4.0652426000000001E-11</c:v>
                </c:pt>
                <c:pt idx="2">
                  <c:v>3.0125085999999999E-5</c:v>
                </c:pt>
                <c:pt idx="3">
                  <c:v>2.7023158000000001E-6</c:v>
                </c:pt>
                <c:pt idx="4">
                  <c:v>3.5073599999999999E-11</c:v>
                </c:pt>
                <c:pt idx="5">
                  <c:v>1.0086260999999999E-11</c:v>
                </c:pt>
                <c:pt idx="6">
                  <c:v>4.4322143000000001E-13</c:v>
                </c:pt>
                <c:pt idx="7">
                  <c:v>3.9445182E-6</c:v>
                </c:pt>
                <c:pt idx="8">
                  <c:v>3.3697166999999998E-8</c:v>
                </c:pt>
                <c:pt idx="9">
                  <c:v>6.5825375999999999E-7</c:v>
                </c:pt>
                <c:pt idx="10">
                  <c:v>7.3556211000000002E-6</c:v>
                </c:pt>
                <c:pt idx="11">
                  <c:v>1.9510182000000001E-2</c:v>
                </c:pt>
                <c:pt idx="12">
                  <c:v>1.5627654E-3</c:v>
                </c:pt>
                <c:pt idx="13">
                  <c:v>1.6902875999999999E-4</c:v>
                </c:pt>
                <c:pt idx="14">
                  <c:v>9.7577119000000004E-3</c:v>
                </c:pt>
                <c:pt idx="15">
                  <c:v>2.1633415000000002E-9</c:v>
                </c:pt>
              </c:numCache>
            </c:numRef>
          </c:val>
          <c:extLst>
            <c:ext xmlns:c16="http://schemas.microsoft.com/office/drawing/2014/chart" uri="{C3380CC4-5D6E-409C-BE32-E72D297353CC}">
              <c16:uniqueId val="{0000000E-DAAD-4893-B4E1-BE5E3734C08A}"/>
            </c:ext>
          </c:extLst>
        </c:ser>
        <c:ser>
          <c:idx val="15"/>
          <c:order val="15"/>
          <c:tx>
            <c:strRef>
              <c:f>contribution_pack!$S$7</c:f>
              <c:strCache>
                <c:ptCount val="1"/>
                <c:pt idx="0">
                  <c:v>BMS</c:v>
                </c:pt>
              </c:strCache>
            </c:strRef>
          </c:tx>
          <c:spPr>
            <a:solidFill>
              <a:schemeClr val="accent4">
                <a:lumMod val="80000"/>
                <a:lumOff val="20000"/>
              </a:schemeClr>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contribution_pack!$S$28:$S$43</c:f>
              <c:numCache>
                <c:formatCode>0.00E+00</c:formatCode>
                <c:ptCount val="16"/>
                <c:pt idx="0">
                  <c:v>1.9973829000000001</c:v>
                </c:pt>
                <c:pt idx="1">
                  <c:v>1.6930896999999999E-7</c:v>
                </c:pt>
                <c:pt idx="2">
                  <c:v>9.1244397000000005E-2</c:v>
                </c:pt>
                <c:pt idx="3">
                  <c:v>9.1308047E-3</c:v>
                </c:pt>
                <c:pt idx="4">
                  <c:v>1.1700568E-7</c:v>
                </c:pt>
                <c:pt idx="5">
                  <c:v>1.3555431999999999E-7</c:v>
                </c:pt>
                <c:pt idx="6">
                  <c:v>3.1640258999999998E-9</c:v>
                </c:pt>
                <c:pt idx="7">
                  <c:v>1.9301852000000001E-2</c:v>
                </c:pt>
                <c:pt idx="8">
                  <c:v>3.8949037000000003E-4</c:v>
                </c:pt>
                <c:pt idx="9">
                  <c:v>2.7468698000000001E-3</c:v>
                </c:pt>
                <c:pt idx="10">
                  <c:v>3.3365930000000002E-2</c:v>
                </c:pt>
                <c:pt idx="11">
                  <c:v>218.21912</c:v>
                </c:pt>
                <c:pt idx="12">
                  <c:v>16.108809000000001</c:v>
                </c:pt>
                <c:pt idx="13">
                  <c:v>0.50845699</c:v>
                </c:pt>
                <c:pt idx="14">
                  <c:v>24.165731000000001</c:v>
                </c:pt>
                <c:pt idx="15">
                  <c:v>1.0499793E-3</c:v>
                </c:pt>
              </c:numCache>
            </c:numRef>
          </c:val>
          <c:extLst>
            <c:ext xmlns:c16="http://schemas.microsoft.com/office/drawing/2014/chart" uri="{C3380CC4-5D6E-409C-BE32-E72D297353CC}">
              <c16:uniqueId val="{0000000F-DAAD-4893-B4E1-BE5E3734C08A}"/>
            </c:ext>
          </c:extLst>
        </c:ser>
        <c:ser>
          <c:idx val="16"/>
          <c:order val="16"/>
          <c:tx>
            <c:strRef>
              <c:f>contribution_pack!$T$7</c:f>
              <c:strCache>
                <c:ptCount val="1"/>
                <c:pt idx="0">
                  <c:v>Electronic component, passive, unspecified {GLO}| market for | Cut-off, U</c:v>
                </c:pt>
              </c:strCache>
            </c:strRef>
          </c:tx>
          <c:spPr>
            <a:solidFill>
              <a:schemeClr val="accent5">
                <a:lumMod val="80000"/>
                <a:lumOff val="20000"/>
              </a:schemeClr>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contribution_pack!$T$28:$T$43</c:f>
              <c:numCache>
                <c:formatCode>0.00E+00</c:formatCode>
                <c:ptCount val="16"/>
                <c:pt idx="0">
                  <c:v>0.33447444999999998</c:v>
                </c:pt>
                <c:pt idx="1">
                  <c:v>2.3800737000000001E-8</c:v>
                </c:pt>
                <c:pt idx="2">
                  <c:v>1.6099958000000001E-2</c:v>
                </c:pt>
                <c:pt idx="3">
                  <c:v>2.2291684999999999E-3</c:v>
                </c:pt>
                <c:pt idx="4">
                  <c:v>2.2187225000000001E-8</c:v>
                </c:pt>
                <c:pt idx="5">
                  <c:v>1.6429749000000002E-8</c:v>
                </c:pt>
                <c:pt idx="6">
                  <c:v>3.3370727000000002E-10</c:v>
                </c:pt>
                <c:pt idx="7">
                  <c:v>3.7208251000000001E-3</c:v>
                </c:pt>
                <c:pt idx="8">
                  <c:v>6.1427981000000003E-5</c:v>
                </c:pt>
                <c:pt idx="9">
                  <c:v>5.5963872000000005E-4</c:v>
                </c:pt>
                <c:pt idx="10">
                  <c:v>6.7927268000000001E-3</c:v>
                </c:pt>
                <c:pt idx="11">
                  <c:v>46.637118999999998</c:v>
                </c:pt>
                <c:pt idx="12">
                  <c:v>2.8965453999999999</c:v>
                </c:pt>
                <c:pt idx="13">
                  <c:v>9.4302220000000006E-2</c:v>
                </c:pt>
                <c:pt idx="14">
                  <c:v>4.2892048999999997</c:v>
                </c:pt>
                <c:pt idx="15">
                  <c:v>2.6456450000000002E-4</c:v>
                </c:pt>
              </c:numCache>
            </c:numRef>
          </c:val>
          <c:extLst>
            <c:ext xmlns:c16="http://schemas.microsoft.com/office/drawing/2014/chart" uri="{C3380CC4-5D6E-409C-BE32-E72D297353CC}">
              <c16:uniqueId val="{00000010-DAAD-4893-B4E1-BE5E3734C08A}"/>
            </c:ext>
          </c:extLst>
        </c:ser>
        <c:ser>
          <c:idx val="17"/>
          <c:order val="17"/>
          <c:tx>
            <c:strRef>
              <c:f>contribution_pack!$U$7</c:f>
              <c:strCache>
                <c:ptCount val="1"/>
                <c:pt idx="0">
                  <c:v>Metal working factory {GLO}| market for | Cut-off, U</c:v>
                </c:pt>
              </c:strCache>
            </c:strRef>
          </c:tx>
          <c:spPr>
            <a:solidFill>
              <a:schemeClr val="accent6">
                <a:lumMod val="80000"/>
                <a:lumOff val="20000"/>
              </a:schemeClr>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contribution_pack!$U$28:$U$43</c:f>
              <c:numCache>
                <c:formatCode>0.00E+00</c:formatCode>
                <c:ptCount val="16"/>
                <c:pt idx="0">
                  <c:v>0.18777909000000001</c:v>
                </c:pt>
                <c:pt idx="1">
                  <c:v>2.5909559E-8</c:v>
                </c:pt>
                <c:pt idx="2">
                  <c:v>8.6743587000000007E-3</c:v>
                </c:pt>
                <c:pt idx="3">
                  <c:v>1.1761794E-3</c:v>
                </c:pt>
                <c:pt idx="4">
                  <c:v>2.3290570999999999E-8</c:v>
                </c:pt>
                <c:pt idx="5">
                  <c:v>4.5082863E-9</c:v>
                </c:pt>
                <c:pt idx="6">
                  <c:v>3.3390782E-10</c:v>
                </c:pt>
                <c:pt idx="7">
                  <c:v>1.8474194E-3</c:v>
                </c:pt>
                <c:pt idx="8">
                  <c:v>5.1863907999999997E-6</c:v>
                </c:pt>
                <c:pt idx="9">
                  <c:v>3.1403220999999998E-4</c:v>
                </c:pt>
                <c:pt idx="10">
                  <c:v>6.5792862999999998E-3</c:v>
                </c:pt>
                <c:pt idx="11">
                  <c:v>4.9224211999999996</c:v>
                </c:pt>
                <c:pt idx="12">
                  <c:v>18.604551000000001</c:v>
                </c:pt>
                <c:pt idx="13">
                  <c:v>4.8703272999999998E-2</c:v>
                </c:pt>
                <c:pt idx="14">
                  <c:v>2.5634082</c:v>
                </c:pt>
                <c:pt idx="15">
                  <c:v>1.2276602000000001E-4</c:v>
                </c:pt>
              </c:numCache>
            </c:numRef>
          </c:val>
          <c:extLst>
            <c:ext xmlns:c16="http://schemas.microsoft.com/office/drawing/2014/chart" uri="{C3380CC4-5D6E-409C-BE32-E72D297353CC}">
              <c16:uniqueId val="{00000011-DAAD-4893-B4E1-BE5E3734C08A}"/>
            </c:ext>
          </c:extLst>
        </c:ser>
        <c:ser>
          <c:idx val="18"/>
          <c:order val="18"/>
          <c:tx>
            <c:strRef>
              <c:f>contribution_pack!$V$7</c:f>
              <c:strCache>
                <c:ptCount val="1"/>
                <c:pt idx="0">
                  <c:v>Electricity, medium voltage {CN}| market group for | Cut-off, U</c:v>
                </c:pt>
              </c:strCache>
            </c:strRef>
          </c:tx>
          <c:spPr>
            <a:solidFill>
              <a:schemeClr val="accent1">
                <a:lumMod val="80000"/>
              </a:schemeClr>
            </a:solidFill>
            <a:ln>
              <a:noFill/>
            </a:ln>
            <a:effectLst/>
          </c:spPr>
          <c:invertIfNegative val="0"/>
          <c:cat>
            <c:strRef>
              <c:f>contribution_pack!$A$28:$A$43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contribution_pack!$V$28:$V$43</c:f>
              <c:numCache>
                <c:formatCode>0.00E+00</c:formatCode>
                <c:ptCount val="16"/>
                <c:pt idx="0">
                  <c:v>2.9470736999999999E-4</c:v>
                </c:pt>
                <c:pt idx="1">
                  <c:v>1.8587757999999999E-12</c:v>
                </c:pt>
                <c:pt idx="2">
                  <c:v>1.6690746E-6</c:v>
                </c:pt>
                <c:pt idx="3">
                  <c:v>9.0186832999999999E-7</c:v>
                </c:pt>
                <c:pt idx="4">
                  <c:v>2.0872485000000001E-11</c:v>
                </c:pt>
                <c:pt idx="5">
                  <c:v>2.9182419999999998E-12</c:v>
                </c:pt>
                <c:pt idx="6">
                  <c:v>5.9492387E-14</c:v>
                </c:pt>
                <c:pt idx="7">
                  <c:v>1.5289479999999999E-6</c:v>
                </c:pt>
                <c:pt idx="8">
                  <c:v>6.1969417999999996E-9</c:v>
                </c:pt>
                <c:pt idx="9">
                  <c:v>3.1645877E-7</c:v>
                </c:pt>
                <c:pt idx="10">
                  <c:v>3.4816845000000002E-6</c:v>
                </c:pt>
                <c:pt idx="11">
                  <c:v>7.4473263000000003E-3</c:v>
                </c:pt>
                <c:pt idx="12">
                  <c:v>5.5965940999999999E-4</c:v>
                </c:pt>
                <c:pt idx="13">
                  <c:v>3.0147430000000001E-5</c:v>
                </c:pt>
                <c:pt idx="14">
                  <c:v>2.5978717000000001E-3</c:v>
                </c:pt>
                <c:pt idx="15">
                  <c:v>3.8332792E-10</c:v>
                </c:pt>
              </c:numCache>
            </c:numRef>
          </c:val>
          <c:extLst>
            <c:ext xmlns:c16="http://schemas.microsoft.com/office/drawing/2014/chart" uri="{C3380CC4-5D6E-409C-BE32-E72D297353CC}">
              <c16:uniqueId val="{00000012-DAAD-4893-B4E1-BE5E3734C08A}"/>
            </c:ext>
          </c:extLst>
        </c:ser>
        <c:dLbls>
          <c:showLegendKey val="0"/>
          <c:showVal val="0"/>
          <c:showCatName val="0"/>
          <c:showSerName val="0"/>
          <c:showPercent val="0"/>
          <c:showBubbleSize val="0"/>
        </c:dLbls>
        <c:gapWidth val="150"/>
        <c:overlap val="100"/>
        <c:axId val="513835240"/>
        <c:axId val="513832616"/>
      </c:barChart>
      <c:catAx>
        <c:axId val="513835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832616"/>
        <c:crosses val="autoZero"/>
        <c:auto val="1"/>
        <c:lblAlgn val="ctr"/>
        <c:lblOffset val="100"/>
        <c:noMultiLvlLbl val="0"/>
      </c:catAx>
      <c:valAx>
        <c:axId val="5138326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835240"/>
        <c:crosses val="autoZero"/>
        <c:crossBetween val="between"/>
      </c:valAx>
      <c:spPr>
        <a:noFill/>
        <a:ln>
          <a:noFill/>
        </a:ln>
        <a:effectLst/>
      </c:spPr>
    </c:plotArea>
    <c:legend>
      <c:legendPos val="b"/>
      <c:layout>
        <c:manualLayout>
          <c:xMode val="edge"/>
          <c:yMode val="edge"/>
          <c:x val="3.5490297842209001E-2"/>
          <c:y val="0.8514047499644708"/>
          <c:w val="0.93896344234930884"/>
          <c:h val="0.136147788288604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271671380079798E-2"/>
          <c:y val="7.6946059365571501E-2"/>
          <c:w val="0.92349759222475403"/>
          <c:h val="0.58552843722281112"/>
        </c:manualLayout>
      </c:layout>
      <c:barChart>
        <c:barDir val="col"/>
        <c:grouping val="percentStacked"/>
        <c:varyColors val="0"/>
        <c:ser>
          <c:idx val="0"/>
          <c:order val="0"/>
          <c:tx>
            <c:strRef>
              <c:f>contribution_pack!$D$7</c:f>
              <c:strCache>
                <c:ptCount val="1"/>
                <c:pt idx="0">
                  <c:v>Battery cell </c:v>
                </c:pt>
              </c:strCache>
            </c:strRef>
          </c:tx>
          <c:spPr>
            <a:solidFill>
              <a:schemeClr val="accent1"/>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contribution_pack!$D$48:$D$63</c:f>
              <c:numCache>
                <c:formatCode>0.00E+00</c:formatCode>
                <c:ptCount val="16"/>
                <c:pt idx="0">
                  <c:v>11.764389</c:v>
                </c:pt>
                <c:pt idx="1">
                  <c:v>9.679099899999999E-7</c:v>
                </c:pt>
                <c:pt idx="2">
                  <c:v>0.29368765000000002</c:v>
                </c:pt>
                <c:pt idx="3">
                  <c:v>8.4705730000000007E-2</c:v>
                </c:pt>
                <c:pt idx="4">
                  <c:v>2.5331515E-6</c:v>
                </c:pt>
                <c:pt idx="5">
                  <c:v>1.0670706999999999E-6</c:v>
                </c:pt>
                <c:pt idx="6">
                  <c:v>1.9164846E-8</c:v>
                </c:pt>
                <c:pt idx="7">
                  <c:v>0.60356335999999999</c:v>
                </c:pt>
                <c:pt idx="8">
                  <c:v>9.7775594E-4</c:v>
                </c:pt>
                <c:pt idx="9">
                  <c:v>1.7894736000000001E-2</c:v>
                </c:pt>
                <c:pt idx="10">
                  <c:v>0.28087240000000002</c:v>
                </c:pt>
                <c:pt idx="11">
                  <c:v>1593.5568000000001</c:v>
                </c:pt>
                <c:pt idx="12">
                  <c:v>49.949168</c:v>
                </c:pt>
                <c:pt idx="13">
                  <c:v>3.5873588999999999</c:v>
                </c:pt>
                <c:pt idx="14">
                  <c:v>134.91864000000001</c:v>
                </c:pt>
                <c:pt idx="15">
                  <c:v>8.6695629000000003E-4</c:v>
                </c:pt>
              </c:numCache>
            </c:numRef>
          </c:val>
          <c:extLst>
            <c:ext xmlns:c16="http://schemas.microsoft.com/office/drawing/2014/chart" uri="{C3380CC4-5D6E-409C-BE32-E72D297353CC}">
              <c16:uniqueId val="{00000000-2082-4EB7-903F-3C8ED080FFEB}"/>
            </c:ext>
          </c:extLst>
        </c:ser>
        <c:ser>
          <c:idx val="1"/>
          <c:order val="1"/>
          <c:tx>
            <c:strRef>
              <c:f>contribution_pack!$E$7</c:f>
              <c:strCache>
                <c:ptCount val="1"/>
                <c:pt idx="0">
                  <c:v>Battery module packaging</c:v>
                </c:pt>
              </c:strCache>
            </c:strRef>
          </c:tx>
          <c:spPr>
            <a:solidFill>
              <a:schemeClr val="accent2"/>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contribution_pack!$E$48:$E$63</c:f>
              <c:numCache>
                <c:formatCode>0.00E+00</c:formatCode>
                <c:ptCount val="16"/>
                <c:pt idx="0">
                  <c:v>1.2434322</c:v>
                </c:pt>
                <c:pt idx="1">
                  <c:v>6.8807795000000001E-8</c:v>
                </c:pt>
                <c:pt idx="2">
                  <c:v>3.9261719E-2</c:v>
                </c:pt>
                <c:pt idx="3">
                  <c:v>6.2843546999999996E-3</c:v>
                </c:pt>
                <c:pt idx="4">
                  <c:v>9.0192832000000005E-8</c:v>
                </c:pt>
                <c:pt idx="5">
                  <c:v>6.4109590000000005E-8</c:v>
                </c:pt>
                <c:pt idx="6">
                  <c:v>1.6801216999999999E-9</c:v>
                </c:pt>
                <c:pt idx="7">
                  <c:v>1.2362100000000001E-2</c:v>
                </c:pt>
                <c:pt idx="8">
                  <c:v>1.4335804000000001E-4</c:v>
                </c:pt>
                <c:pt idx="9">
                  <c:v>1.6931466E-3</c:v>
                </c:pt>
                <c:pt idx="10">
                  <c:v>2.0120663E-2</c:v>
                </c:pt>
                <c:pt idx="11">
                  <c:v>116.07607</c:v>
                </c:pt>
                <c:pt idx="12">
                  <c:v>6.9413936999999999</c:v>
                </c:pt>
                <c:pt idx="13">
                  <c:v>0.27811425000000001</c:v>
                </c:pt>
                <c:pt idx="14">
                  <c:v>13.953720000000001</c:v>
                </c:pt>
                <c:pt idx="15">
                  <c:v>4.7856474999999999E-4</c:v>
                </c:pt>
              </c:numCache>
            </c:numRef>
          </c:val>
          <c:extLst>
            <c:ext xmlns:c16="http://schemas.microsoft.com/office/drawing/2014/chart" uri="{C3380CC4-5D6E-409C-BE32-E72D297353CC}">
              <c16:uniqueId val="{00000001-2082-4EB7-903F-3C8ED080FFEB}"/>
            </c:ext>
          </c:extLst>
        </c:ser>
        <c:ser>
          <c:idx val="2"/>
          <c:order val="2"/>
          <c:tx>
            <c:strRef>
              <c:f>contribution_pack!$F$7</c:f>
              <c:strCache>
                <c:ptCount val="1"/>
                <c:pt idx="0">
                  <c:v>Aluminium, wrought alloy {GLO}| market for | Cut-off, U</c:v>
                </c:pt>
              </c:strCache>
            </c:strRef>
          </c:tx>
          <c:spPr>
            <a:solidFill>
              <a:schemeClr val="accent3"/>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contribution_pack!$F$48:$F$63</c:f>
              <c:numCache>
                <c:formatCode>0.00E+00</c:formatCode>
                <c:ptCount val="16"/>
                <c:pt idx="0">
                  <c:v>1.9013977</c:v>
                </c:pt>
                <c:pt idx="1">
                  <c:v>7.53295E-8</c:v>
                </c:pt>
                <c:pt idx="2">
                  <c:v>2.7497922000000001E-2</c:v>
                </c:pt>
                <c:pt idx="3">
                  <c:v>6.1382051000000003E-3</c:v>
                </c:pt>
                <c:pt idx="4">
                  <c:v>1.4522079000000001E-7</c:v>
                </c:pt>
                <c:pt idx="5">
                  <c:v>4.9955066000000001E-8</c:v>
                </c:pt>
                <c:pt idx="6">
                  <c:v>2.6821383999999999E-9</c:v>
                </c:pt>
                <c:pt idx="7">
                  <c:v>1.2604225E-2</c:v>
                </c:pt>
                <c:pt idx="8">
                  <c:v>6.5108217999999997E-5</c:v>
                </c:pt>
                <c:pt idx="9">
                  <c:v>1.8761019999999999E-3</c:v>
                </c:pt>
                <c:pt idx="10">
                  <c:v>2.0923831E-2</c:v>
                </c:pt>
                <c:pt idx="11">
                  <c:v>51.094836999999998</c:v>
                </c:pt>
                <c:pt idx="12">
                  <c:v>3.5118252000000001</c:v>
                </c:pt>
                <c:pt idx="13">
                  <c:v>0.26604418000000002</c:v>
                </c:pt>
                <c:pt idx="14">
                  <c:v>17.984838</c:v>
                </c:pt>
                <c:pt idx="15">
                  <c:v>6.7091155999999997E-6</c:v>
                </c:pt>
              </c:numCache>
            </c:numRef>
          </c:val>
          <c:extLst>
            <c:ext xmlns:c16="http://schemas.microsoft.com/office/drawing/2014/chart" uri="{C3380CC4-5D6E-409C-BE32-E72D297353CC}">
              <c16:uniqueId val="{00000002-2082-4EB7-903F-3C8ED080FFEB}"/>
            </c:ext>
          </c:extLst>
        </c:ser>
        <c:ser>
          <c:idx val="3"/>
          <c:order val="3"/>
          <c:tx>
            <c:strRef>
              <c:f>contribution_pack!$G$7</c:f>
              <c:strCache>
                <c:ptCount val="1"/>
                <c:pt idx="0">
                  <c:v>Impact extrusion of aluminium, 1 stroke {GLO}| market for | Cut-off, U</c:v>
                </c:pt>
              </c:strCache>
            </c:strRef>
          </c:tx>
          <c:spPr>
            <a:solidFill>
              <a:schemeClr val="accent4"/>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contribution_pack!$G$48:$G$63</c:f>
              <c:numCache>
                <c:formatCode>0.00E+00</c:formatCode>
                <c:ptCount val="16"/>
                <c:pt idx="0">
                  <c:v>0.13708488999999999</c:v>
                </c:pt>
                <c:pt idx="1">
                  <c:v>8.4380067999999997E-9</c:v>
                </c:pt>
                <c:pt idx="2">
                  <c:v>7.4547058000000001E-3</c:v>
                </c:pt>
                <c:pt idx="3">
                  <c:v>3.2246867E-4</c:v>
                </c:pt>
                <c:pt idx="4">
                  <c:v>6.1132763000000003E-9</c:v>
                </c:pt>
                <c:pt idx="5">
                  <c:v>1.9534562E-9</c:v>
                </c:pt>
                <c:pt idx="6">
                  <c:v>1.2946792000000001E-10</c:v>
                </c:pt>
                <c:pt idx="7">
                  <c:v>5.8947359E-4</c:v>
                </c:pt>
                <c:pt idx="8">
                  <c:v>7.8500213E-6</c:v>
                </c:pt>
                <c:pt idx="9">
                  <c:v>1.3728402E-4</c:v>
                </c:pt>
                <c:pt idx="10">
                  <c:v>1.2364226E-3</c:v>
                </c:pt>
                <c:pt idx="11">
                  <c:v>12.263472999999999</c:v>
                </c:pt>
                <c:pt idx="12">
                  <c:v>1.1332878</c:v>
                </c:pt>
                <c:pt idx="13">
                  <c:v>2.7210303000000002E-2</c:v>
                </c:pt>
                <c:pt idx="14">
                  <c:v>1.6116729999999999</c:v>
                </c:pt>
                <c:pt idx="15">
                  <c:v>5.9375893000000003E-6</c:v>
                </c:pt>
              </c:numCache>
            </c:numRef>
          </c:val>
          <c:extLst>
            <c:ext xmlns:c16="http://schemas.microsoft.com/office/drawing/2014/chart" uri="{C3380CC4-5D6E-409C-BE32-E72D297353CC}">
              <c16:uniqueId val="{00000003-2082-4EB7-903F-3C8ED080FFEB}"/>
            </c:ext>
          </c:extLst>
        </c:ser>
        <c:ser>
          <c:idx val="4"/>
          <c:order val="4"/>
          <c:tx>
            <c:strRef>
              <c:f>contribution_pack!$H$7</c:f>
              <c:strCache>
                <c:ptCount val="1"/>
                <c:pt idx="0">
                  <c:v>Polyethylene, high density, granulate {GLO}| market for | Cut-off, U</c:v>
                </c:pt>
              </c:strCache>
            </c:strRef>
          </c:tx>
          <c:spPr>
            <a:solidFill>
              <a:schemeClr val="accent5"/>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contribution_pack!$H$48:$H$63</c:f>
              <c:numCache>
                <c:formatCode>0.00E+00</c:formatCode>
                <c:ptCount val="16"/>
                <c:pt idx="0">
                  <c:v>1.0231723E-2</c:v>
                </c:pt>
                <c:pt idx="1">
                  <c:v>2.7674745000000002E-10</c:v>
                </c:pt>
                <c:pt idx="2">
                  <c:v>1.4949068E-4</c:v>
                </c:pt>
                <c:pt idx="3">
                  <c:v>3.5693391999999998E-5</c:v>
                </c:pt>
                <c:pt idx="4">
                  <c:v>3.4844806000000001E-10</c:v>
                </c:pt>
                <c:pt idx="5">
                  <c:v>7.3752324999999995E-11</c:v>
                </c:pt>
                <c:pt idx="6">
                  <c:v>2.8670778999999999E-12</c:v>
                </c:pt>
                <c:pt idx="7">
                  <c:v>4.1706653999999999E-5</c:v>
                </c:pt>
                <c:pt idx="8">
                  <c:v>2.1012341000000001E-7</c:v>
                </c:pt>
                <c:pt idx="9">
                  <c:v>7.6782380999999993E-6</c:v>
                </c:pt>
                <c:pt idx="10">
                  <c:v>8.5496172E-5</c:v>
                </c:pt>
                <c:pt idx="11">
                  <c:v>0.11219846999999999</c:v>
                </c:pt>
                <c:pt idx="12">
                  <c:v>1.5098502999999999E-2</c:v>
                </c:pt>
                <c:pt idx="13">
                  <c:v>4.5947236000000004E-3</c:v>
                </c:pt>
                <c:pt idx="14">
                  <c:v>0.31424141</c:v>
                </c:pt>
                <c:pt idx="15">
                  <c:v>9.5214122000000001E-8</c:v>
                </c:pt>
              </c:numCache>
            </c:numRef>
          </c:val>
          <c:extLst>
            <c:ext xmlns:c16="http://schemas.microsoft.com/office/drawing/2014/chart" uri="{C3380CC4-5D6E-409C-BE32-E72D297353CC}">
              <c16:uniqueId val="{00000004-2082-4EB7-903F-3C8ED080FFEB}"/>
            </c:ext>
          </c:extLst>
        </c:ser>
        <c:ser>
          <c:idx val="5"/>
          <c:order val="5"/>
          <c:tx>
            <c:strRef>
              <c:f>contribution_pack!$I$7</c:f>
              <c:strCache>
                <c:ptCount val="1"/>
                <c:pt idx="0">
                  <c:v>Injection moulding {GLO}| market for | Cut-off, U</c:v>
                </c:pt>
              </c:strCache>
            </c:strRef>
          </c:tx>
          <c:spPr>
            <a:solidFill>
              <a:schemeClr val="accent6"/>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contribution_pack!$I$48:$I$63</c:f>
              <c:numCache>
                <c:formatCode>0.00E+00</c:formatCode>
                <c:ptCount val="16"/>
                <c:pt idx="0">
                  <c:v>5.5620004000000002E-3</c:v>
                </c:pt>
                <c:pt idx="1">
                  <c:v>5.0156688999999996E-10</c:v>
                </c:pt>
                <c:pt idx="2">
                  <c:v>3.5322304000000001E-4</c:v>
                </c:pt>
                <c:pt idx="3">
                  <c:v>1.5025755E-5</c:v>
                </c:pt>
                <c:pt idx="4">
                  <c:v>1.8914386000000001E-10</c:v>
                </c:pt>
                <c:pt idx="5">
                  <c:v>4.8873592000000001E-11</c:v>
                </c:pt>
                <c:pt idx="6">
                  <c:v>1.8955119000000002E-12</c:v>
                </c:pt>
                <c:pt idx="7">
                  <c:v>2.6627186999999999E-5</c:v>
                </c:pt>
                <c:pt idx="8">
                  <c:v>2.7615092999999998E-7</c:v>
                </c:pt>
                <c:pt idx="9">
                  <c:v>4.3813744000000004E-6</c:v>
                </c:pt>
                <c:pt idx="10">
                  <c:v>5.0188122000000002E-5</c:v>
                </c:pt>
                <c:pt idx="11">
                  <c:v>9.4478048999999995E-2</c:v>
                </c:pt>
                <c:pt idx="12">
                  <c:v>3.9811065999999999E-2</c:v>
                </c:pt>
                <c:pt idx="13">
                  <c:v>1.7375327E-3</c:v>
                </c:pt>
                <c:pt idx="14">
                  <c:v>8.7636473000000006E-2</c:v>
                </c:pt>
                <c:pt idx="15">
                  <c:v>3.9584645000000003E-8</c:v>
                </c:pt>
              </c:numCache>
            </c:numRef>
          </c:val>
          <c:extLst>
            <c:ext xmlns:c16="http://schemas.microsoft.com/office/drawing/2014/chart" uri="{C3380CC4-5D6E-409C-BE32-E72D297353CC}">
              <c16:uniqueId val="{00000005-2082-4EB7-903F-3C8ED080FFEB}"/>
            </c:ext>
          </c:extLst>
        </c:ser>
        <c:ser>
          <c:idx val="6"/>
          <c:order val="6"/>
          <c:tx>
            <c:strRef>
              <c:f>contribution_pack!$J$7</c:f>
              <c:strCache>
                <c:ptCount val="1"/>
                <c:pt idx="0">
                  <c:v>Reinforcing steel {GLO}| market for | Cut-off, U</c:v>
                </c:pt>
              </c:strCache>
            </c:strRef>
          </c:tx>
          <c:spPr>
            <a:solidFill>
              <a:schemeClr val="accent1">
                <a:lumMod val="60000"/>
              </a:schemeClr>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contribution_pack!$J$48:$J$63</c:f>
              <c:numCache>
                <c:formatCode>0.00E+00</c:formatCode>
                <c:ptCount val="16"/>
                <c:pt idx="0">
                  <c:v>1.3202956E-2</c:v>
                </c:pt>
                <c:pt idx="1">
                  <c:v>7.5741948999999996E-10</c:v>
                </c:pt>
                <c:pt idx="2">
                  <c:v>2.7771871999999998E-4</c:v>
                </c:pt>
                <c:pt idx="3">
                  <c:v>6.5481693000000001E-5</c:v>
                </c:pt>
                <c:pt idx="4">
                  <c:v>1.1200601E-9</c:v>
                </c:pt>
                <c:pt idx="5">
                  <c:v>7.1095253000000001E-10</c:v>
                </c:pt>
                <c:pt idx="6">
                  <c:v>7.7188958999999994E-11</c:v>
                </c:pt>
                <c:pt idx="7">
                  <c:v>6.1569469999999999E-5</c:v>
                </c:pt>
                <c:pt idx="8">
                  <c:v>6.3729449999999998E-7</c:v>
                </c:pt>
                <c:pt idx="9">
                  <c:v>1.2815438999999999E-5</c:v>
                </c:pt>
                <c:pt idx="10">
                  <c:v>1.3939205E-4</c:v>
                </c:pt>
                <c:pt idx="11">
                  <c:v>0.43331881</c:v>
                </c:pt>
                <c:pt idx="12">
                  <c:v>4.1711043000000003E-2</c:v>
                </c:pt>
                <c:pt idx="13">
                  <c:v>4.0451844000000004E-3</c:v>
                </c:pt>
                <c:pt idx="14">
                  <c:v>0.14034476000000001</c:v>
                </c:pt>
                <c:pt idx="15">
                  <c:v>1.1305762E-7</c:v>
                </c:pt>
              </c:numCache>
            </c:numRef>
          </c:val>
          <c:extLst>
            <c:ext xmlns:c16="http://schemas.microsoft.com/office/drawing/2014/chart" uri="{C3380CC4-5D6E-409C-BE32-E72D297353CC}">
              <c16:uniqueId val="{00000006-2082-4EB7-903F-3C8ED080FFEB}"/>
            </c:ext>
          </c:extLst>
        </c:ser>
        <c:ser>
          <c:idx val="7"/>
          <c:order val="7"/>
          <c:tx>
            <c:strRef>
              <c:f>contribution_pack!$K$7</c:f>
              <c:strCache>
                <c:ptCount val="1"/>
                <c:pt idx="0">
                  <c:v>Sheet rolling, steel {GLO}| market for | Cut-off, U</c:v>
                </c:pt>
              </c:strCache>
            </c:strRef>
          </c:tx>
          <c:spPr>
            <a:solidFill>
              <a:schemeClr val="accent2">
                <a:lumMod val="60000"/>
              </a:schemeClr>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contribution_pack!$K$48:$K$63</c:f>
              <c:numCache>
                <c:formatCode>0.00E+00</c:formatCode>
                <c:ptCount val="16"/>
                <c:pt idx="0">
                  <c:v>2.3955118000000002E-3</c:v>
                </c:pt>
                <c:pt idx="1">
                  <c:v>1.4874624E-10</c:v>
                </c:pt>
                <c:pt idx="2">
                  <c:v>8.4951120000000002E-5</c:v>
                </c:pt>
                <c:pt idx="3">
                  <c:v>9.7848223999999998E-6</c:v>
                </c:pt>
                <c:pt idx="4">
                  <c:v>1.3457406999999999E-10</c:v>
                </c:pt>
                <c:pt idx="5">
                  <c:v>4.7649038999999999E-11</c:v>
                </c:pt>
                <c:pt idx="6">
                  <c:v>8.3384428999999998E-12</c:v>
                </c:pt>
                <c:pt idx="7">
                  <c:v>1.1467597E-5</c:v>
                </c:pt>
                <c:pt idx="8">
                  <c:v>1.0609977E-7</c:v>
                </c:pt>
                <c:pt idx="9">
                  <c:v>2.1988346000000002E-6</c:v>
                </c:pt>
                <c:pt idx="10">
                  <c:v>2.4460000999999999E-5</c:v>
                </c:pt>
                <c:pt idx="11">
                  <c:v>5.7705565E-2</c:v>
                </c:pt>
                <c:pt idx="12">
                  <c:v>7.4208268000000004E-3</c:v>
                </c:pt>
                <c:pt idx="13">
                  <c:v>1.7909007E-3</c:v>
                </c:pt>
                <c:pt idx="14">
                  <c:v>2.9364963000000001E-2</c:v>
                </c:pt>
                <c:pt idx="15">
                  <c:v>2.1331199000000001E-8</c:v>
                </c:pt>
              </c:numCache>
            </c:numRef>
          </c:val>
          <c:extLst>
            <c:ext xmlns:c16="http://schemas.microsoft.com/office/drawing/2014/chart" uri="{C3380CC4-5D6E-409C-BE32-E72D297353CC}">
              <c16:uniqueId val="{00000007-2082-4EB7-903F-3C8ED080FFEB}"/>
            </c:ext>
          </c:extLst>
        </c:ser>
        <c:ser>
          <c:idx val="8"/>
          <c:order val="8"/>
          <c:tx>
            <c:strRef>
              <c:f>contribution_pack!$L$7</c:f>
              <c:strCache>
                <c:ptCount val="1"/>
                <c:pt idx="0">
                  <c:v>Copper {GLO}| market for | Cut-off, U</c:v>
                </c:pt>
              </c:strCache>
            </c:strRef>
          </c:tx>
          <c:spPr>
            <a:solidFill>
              <a:schemeClr val="accent3">
                <a:lumMod val="60000"/>
              </a:schemeClr>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contribution_pack!$L$48:$L$63</c:f>
              <c:numCache>
                <c:formatCode>0.00E+00</c:formatCode>
                <c:ptCount val="16"/>
                <c:pt idx="0">
                  <c:v>2.9170683000000002E-3</c:v>
                </c:pt>
                <c:pt idx="1">
                  <c:v>1.7030929E-10</c:v>
                </c:pt>
                <c:pt idx="2">
                  <c:v>8.9864167000000002E-5</c:v>
                </c:pt>
                <c:pt idx="3">
                  <c:v>6.2507074000000006E-5</c:v>
                </c:pt>
                <c:pt idx="4">
                  <c:v>7.1931688000000001E-10</c:v>
                </c:pt>
                <c:pt idx="5">
                  <c:v>3.8500368999999999E-9</c:v>
                </c:pt>
                <c:pt idx="6">
                  <c:v>4.4984126E-11</c:v>
                </c:pt>
                <c:pt idx="7">
                  <c:v>3.3564749E-4</c:v>
                </c:pt>
                <c:pt idx="8">
                  <c:v>2.6727510000000002E-6</c:v>
                </c:pt>
                <c:pt idx="9">
                  <c:v>1.546013E-5</c:v>
                </c:pt>
                <c:pt idx="10">
                  <c:v>2.3458277000000001E-4</c:v>
                </c:pt>
                <c:pt idx="11">
                  <c:v>3.2350430999999999</c:v>
                </c:pt>
                <c:pt idx="12">
                  <c:v>4.4459865000000001E-2</c:v>
                </c:pt>
                <c:pt idx="13">
                  <c:v>2.4204455E-3</c:v>
                </c:pt>
                <c:pt idx="14">
                  <c:v>3.0677696000000001E-2</c:v>
                </c:pt>
                <c:pt idx="15">
                  <c:v>1.9145649999999999E-6</c:v>
                </c:pt>
              </c:numCache>
            </c:numRef>
          </c:val>
          <c:extLst>
            <c:ext xmlns:c16="http://schemas.microsoft.com/office/drawing/2014/chart" uri="{C3380CC4-5D6E-409C-BE32-E72D297353CC}">
              <c16:uniqueId val="{00000008-2082-4EB7-903F-3C8ED080FFEB}"/>
            </c:ext>
          </c:extLst>
        </c:ser>
        <c:ser>
          <c:idx val="9"/>
          <c:order val="9"/>
          <c:tx>
            <c:strRef>
              <c:f>contribution_pack!$M$7</c:f>
              <c:strCache>
                <c:ptCount val="1"/>
                <c:pt idx="0">
                  <c:v>Sheet rolling, copper {GLO}| market for | Cut-off, U</c:v>
                </c:pt>
              </c:strCache>
            </c:strRef>
          </c:tx>
          <c:spPr>
            <a:solidFill>
              <a:schemeClr val="accent4">
                <a:lumMod val="60000"/>
              </a:schemeClr>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contribution_pack!$M$48:$M$63</c:f>
              <c:numCache>
                <c:formatCode>0.00E+00</c:formatCode>
                <c:ptCount val="16"/>
                <c:pt idx="0">
                  <c:v>2.8751386000000002E-4</c:v>
                </c:pt>
                <c:pt idx="1">
                  <c:v>1.7254397E-11</c:v>
                </c:pt>
                <c:pt idx="2">
                  <c:v>1.2224338999999999E-5</c:v>
                </c:pt>
                <c:pt idx="3">
                  <c:v>3.1923971000000002E-6</c:v>
                </c:pt>
                <c:pt idx="4">
                  <c:v>3.7306115999999999E-11</c:v>
                </c:pt>
                <c:pt idx="5">
                  <c:v>1.5424031000000001E-10</c:v>
                </c:pt>
                <c:pt idx="6">
                  <c:v>1.8796531999999998E-12</c:v>
                </c:pt>
                <c:pt idx="7">
                  <c:v>1.4178898E-5</c:v>
                </c:pt>
                <c:pt idx="8">
                  <c:v>1.1378738E-7</c:v>
                </c:pt>
                <c:pt idx="9">
                  <c:v>7.4506987999999998E-7</c:v>
                </c:pt>
                <c:pt idx="10">
                  <c:v>1.0744503999999999E-5</c:v>
                </c:pt>
                <c:pt idx="11">
                  <c:v>0.13638484000000001</c:v>
                </c:pt>
                <c:pt idx="12">
                  <c:v>2.5159443000000001E-3</c:v>
                </c:pt>
                <c:pt idx="13">
                  <c:v>2.9271458999999999E-4</c:v>
                </c:pt>
                <c:pt idx="14">
                  <c:v>3.3982741000000002E-3</c:v>
                </c:pt>
                <c:pt idx="15">
                  <c:v>7.6408012999999999E-8</c:v>
                </c:pt>
              </c:numCache>
            </c:numRef>
          </c:val>
          <c:extLst>
            <c:ext xmlns:c16="http://schemas.microsoft.com/office/drawing/2014/chart" uri="{C3380CC4-5D6E-409C-BE32-E72D297353CC}">
              <c16:uniqueId val="{00000009-2082-4EB7-903F-3C8ED080FFEB}"/>
            </c:ext>
          </c:extLst>
        </c:ser>
        <c:ser>
          <c:idx val="10"/>
          <c:order val="10"/>
          <c:tx>
            <c:strRef>
              <c:f>contribution_pack!$N$7</c:f>
              <c:strCache>
                <c:ptCount val="1"/>
                <c:pt idx="0">
                  <c:v>Glass fibre reinforced plastic, polyamide, injection moulded {GLO}| market for | Cut-off, U</c:v>
                </c:pt>
              </c:strCache>
            </c:strRef>
          </c:tx>
          <c:spPr>
            <a:solidFill>
              <a:schemeClr val="accent5">
                <a:lumMod val="60000"/>
              </a:schemeClr>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contribution_pack!$N$48:$N$63</c:f>
              <c:numCache>
                <c:formatCode>0.00E+00</c:formatCode>
                <c:ptCount val="16"/>
                <c:pt idx="0">
                  <c:v>1.8613684999999999E-3</c:v>
                </c:pt>
                <c:pt idx="1">
                  <c:v>3.4439622000000001E-11</c:v>
                </c:pt>
                <c:pt idx="2">
                  <c:v>2.2240908000000001E-5</c:v>
                </c:pt>
                <c:pt idx="3">
                  <c:v>4.5068363999999997E-6</c:v>
                </c:pt>
                <c:pt idx="4">
                  <c:v>8.5929748999999998E-11</c:v>
                </c:pt>
                <c:pt idx="5">
                  <c:v>5.3750595999999997E-12</c:v>
                </c:pt>
                <c:pt idx="6">
                  <c:v>3.1342311999999998E-13</c:v>
                </c:pt>
                <c:pt idx="7">
                  <c:v>7.8424005999999993E-6</c:v>
                </c:pt>
                <c:pt idx="8">
                  <c:v>2.1497136000000001E-8</c:v>
                </c:pt>
                <c:pt idx="9">
                  <c:v>2.4401129999999999E-6</c:v>
                </c:pt>
                <c:pt idx="10">
                  <c:v>1.3289774E-5</c:v>
                </c:pt>
                <c:pt idx="11">
                  <c:v>6.8467030999999996E-3</c:v>
                </c:pt>
                <c:pt idx="12">
                  <c:v>2.3630794999999999E-3</c:v>
                </c:pt>
                <c:pt idx="13">
                  <c:v>1.7709052E-3</c:v>
                </c:pt>
                <c:pt idx="14">
                  <c:v>2.6717612000000002E-2</c:v>
                </c:pt>
                <c:pt idx="15">
                  <c:v>3.4572224000000001E-9</c:v>
                </c:pt>
              </c:numCache>
            </c:numRef>
          </c:val>
          <c:extLst>
            <c:ext xmlns:c16="http://schemas.microsoft.com/office/drawing/2014/chart" uri="{C3380CC4-5D6E-409C-BE32-E72D297353CC}">
              <c16:uniqueId val="{0000000A-2082-4EB7-903F-3C8ED080FFEB}"/>
            </c:ext>
          </c:extLst>
        </c:ser>
        <c:ser>
          <c:idx val="11"/>
          <c:order val="11"/>
          <c:tx>
            <c:strRef>
              <c:f>contribution_pack!$O$7</c:f>
              <c:strCache>
                <c:ptCount val="1"/>
                <c:pt idx="0">
                  <c:v>Ethylene glycol {GLO}| market for | Cut-off, U</c:v>
                </c:pt>
              </c:strCache>
            </c:strRef>
          </c:tx>
          <c:spPr>
            <a:solidFill>
              <a:schemeClr val="accent6">
                <a:lumMod val="60000"/>
              </a:schemeClr>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contribution_pack!$O$48:$O$63</c:f>
              <c:numCache>
                <c:formatCode>0.00E+00</c:formatCode>
                <c:ptCount val="16"/>
                <c:pt idx="0">
                  <c:v>5.0333958999999998E-2</c:v>
                </c:pt>
                <c:pt idx="1">
                  <c:v>1.1829654000000001E-9</c:v>
                </c:pt>
                <c:pt idx="2">
                  <c:v>1.2012647000000001E-3</c:v>
                </c:pt>
                <c:pt idx="3">
                  <c:v>1.5909189000000001E-4</c:v>
                </c:pt>
                <c:pt idx="4">
                  <c:v>1.7068589000000001E-9</c:v>
                </c:pt>
                <c:pt idx="5">
                  <c:v>5.2363595999999996E-10</c:v>
                </c:pt>
                <c:pt idx="6">
                  <c:v>1.6637686999999999E-11</c:v>
                </c:pt>
                <c:pt idx="7">
                  <c:v>2.2199395E-4</c:v>
                </c:pt>
                <c:pt idx="8">
                  <c:v>1.5887647999999999E-6</c:v>
                </c:pt>
                <c:pt idx="9">
                  <c:v>3.898567E-5</c:v>
                </c:pt>
                <c:pt idx="10">
                  <c:v>4.4035142999999998E-4</c:v>
                </c:pt>
                <c:pt idx="11">
                  <c:v>0.75350364999999997</c:v>
                </c:pt>
                <c:pt idx="12">
                  <c:v>0.10091728</c:v>
                </c:pt>
                <c:pt idx="13">
                  <c:v>2.4365240999999999E-2</c:v>
                </c:pt>
                <c:pt idx="14">
                  <c:v>1.1821689</c:v>
                </c:pt>
                <c:pt idx="15">
                  <c:v>7.7469795999999998E-7</c:v>
                </c:pt>
              </c:numCache>
            </c:numRef>
          </c:val>
          <c:extLst>
            <c:ext xmlns:c16="http://schemas.microsoft.com/office/drawing/2014/chart" uri="{C3380CC4-5D6E-409C-BE32-E72D297353CC}">
              <c16:uniqueId val="{0000000B-2082-4EB7-903F-3C8ED080FFEB}"/>
            </c:ext>
          </c:extLst>
        </c:ser>
        <c:ser>
          <c:idx val="12"/>
          <c:order val="12"/>
          <c:tx>
            <c:strRef>
              <c:f>contribution_pack!$P$7</c:f>
              <c:strCache>
                <c:ptCount val="1"/>
                <c:pt idx="0">
                  <c:v>Tap water {RoW}| market for | Cut-off, U</c:v>
                </c:pt>
              </c:strCache>
            </c:strRef>
          </c:tx>
          <c:spPr>
            <a:solidFill>
              <a:schemeClr val="accent1">
                <a:lumMod val="80000"/>
                <a:lumOff val="20000"/>
              </a:schemeClr>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contribution_pack!$P$48:$P$63</c:f>
              <c:numCache>
                <c:formatCode>0.00E+00</c:formatCode>
                <c:ptCount val="16"/>
                <c:pt idx="0">
                  <c:v>2.6207889E-5</c:v>
                </c:pt>
                <c:pt idx="1">
                  <c:v>1.7055481999999999E-12</c:v>
                </c:pt>
                <c:pt idx="2">
                  <c:v>1.799013E-6</c:v>
                </c:pt>
                <c:pt idx="3">
                  <c:v>7.8665451999999995E-8</c:v>
                </c:pt>
                <c:pt idx="4">
                  <c:v>1.3339767000000001E-12</c:v>
                </c:pt>
                <c:pt idx="5">
                  <c:v>1.0663760000000001E-12</c:v>
                </c:pt>
                <c:pt idx="6">
                  <c:v>4.9755402000000002E-14</c:v>
                </c:pt>
                <c:pt idx="7">
                  <c:v>1.3412282E-7</c:v>
                </c:pt>
                <c:pt idx="8">
                  <c:v>1.5928787E-9</c:v>
                </c:pt>
                <c:pt idx="9">
                  <c:v>2.2639829000000001E-8</c:v>
                </c:pt>
                <c:pt idx="10">
                  <c:v>2.5345735000000002E-7</c:v>
                </c:pt>
                <c:pt idx="11">
                  <c:v>5.3374019999999996E-4</c:v>
                </c:pt>
                <c:pt idx="12">
                  <c:v>7.8084612000000001E-5</c:v>
                </c:pt>
                <c:pt idx="13">
                  <c:v>1.0240608000000001E-3</c:v>
                </c:pt>
                <c:pt idx="14">
                  <c:v>3.4648331999999999E-4</c:v>
                </c:pt>
                <c:pt idx="15">
                  <c:v>7.7091639999999995E-10</c:v>
                </c:pt>
              </c:numCache>
            </c:numRef>
          </c:val>
          <c:extLst>
            <c:ext xmlns:c16="http://schemas.microsoft.com/office/drawing/2014/chart" uri="{C3380CC4-5D6E-409C-BE32-E72D297353CC}">
              <c16:uniqueId val="{0000000C-2082-4EB7-903F-3C8ED080FFEB}"/>
            </c:ext>
          </c:extLst>
        </c:ser>
        <c:ser>
          <c:idx val="13"/>
          <c:order val="13"/>
          <c:tx>
            <c:strRef>
              <c:f>contribution_pack!$Q$7</c:f>
              <c:strCache>
                <c:ptCount val="1"/>
                <c:pt idx="0">
                  <c:v>Aluminium, wrought alloy {GLO}| market for | Cut-off, U</c:v>
                </c:pt>
              </c:strCache>
            </c:strRef>
          </c:tx>
          <c:spPr>
            <a:solidFill>
              <a:schemeClr val="accent2">
                <a:lumMod val="80000"/>
                <a:lumOff val="20000"/>
              </a:schemeClr>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contribution_pack!$Q$48:$Q$63</c:f>
              <c:numCache>
                <c:formatCode>0.00E+00</c:formatCode>
                <c:ptCount val="16"/>
                <c:pt idx="0">
                  <c:v>1.752391E-2</c:v>
                </c:pt>
                <c:pt idx="1">
                  <c:v>6.9426155999999996E-10</c:v>
                </c:pt>
                <c:pt idx="2">
                  <c:v>2.5342993999999999E-4</c:v>
                </c:pt>
                <c:pt idx="3">
                  <c:v>5.6571725999999997E-5</c:v>
                </c:pt>
                <c:pt idx="4">
                  <c:v>1.3384027999999999E-9</c:v>
                </c:pt>
                <c:pt idx="5">
                  <c:v>4.6040238999999998E-10</c:v>
                </c:pt>
                <c:pt idx="6">
                  <c:v>2.4719472999999999E-11</c:v>
                </c:pt>
                <c:pt idx="7">
                  <c:v>1.161647E-4</c:v>
                </c:pt>
                <c:pt idx="8">
                  <c:v>6.0005885E-7</c:v>
                </c:pt>
                <c:pt idx="9">
                  <c:v>1.7290776000000002E-5</c:v>
                </c:pt>
                <c:pt idx="10">
                  <c:v>1.9284093999999999E-4</c:v>
                </c:pt>
                <c:pt idx="11">
                  <c:v>0.47090689000000002</c:v>
                </c:pt>
                <c:pt idx="12">
                  <c:v>3.2366141000000001E-2</c:v>
                </c:pt>
                <c:pt idx="13">
                  <c:v>2.451951E-3</c:v>
                </c:pt>
                <c:pt idx="14">
                  <c:v>0.16575421000000001</c:v>
                </c:pt>
                <c:pt idx="15">
                  <c:v>6.1833426000000005E-8</c:v>
                </c:pt>
              </c:numCache>
            </c:numRef>
          </c:val>
          <c:extLst>
            <c:ext xmlns:c16="http://schemas.microsoft.com/office/drawing/2014/chart" uri="{C3380CC4-5D6E-409C-BE32-E72D297353CC}">
              <c16:uniqueId val="{0000000D-2082-4EB7-903F-3C8ED080FFEB}"/>
            </c:ext>
          </c:extLst>
        </c:ser>
        <c:ser>
          <c:idx val="14"/>
          <c:order val="14"/>
          <c:tx>
            <c:strRef>
              <c:f>contribution_pack!$R$7</c:f>
              <c:strCache>
                <c:ptCount val="1"/>
                <c:pt idx="0">
                  <c:v>Sheet rolling, aluminium {GLO}| market for | Cut-off, U</c:v>
                </c:pt>
              </c:strCache>
            </c:strRef>
          </c:tx>
          <c:spPr>
            <a:solidFill>
              <a:schemeClr val="accent3">
                <a:lumMod val="80000"/>
                <a:lumOff val="20000"/>
              </a:schemeClr>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contribution_pack!$R$48:$R$63</c:f>
              <c:numCache>
                <c:formatCode>0.00E+00</c:formatCode>
                <c:ptCount val="16"/>
                <c:pt idx="0">
                  <c:v>8.7201393000000001E-4</c:v>
                </c:pt>
                <c:pt idx="1">
                  <c:v>4.4370729999999999E-11</c:v>
                </c:pt>
                <c:pt idx="2">
                  <c:v>3.2880499000000002E-5</c:v>
                </c:pt>
                <c:pt idx="3">
                  <c:v>2.9494851E-6</c:v>
                </c:pt>
                <c:pt idx="4">
                  <c:v>3.8281632000000001E-11</c:v>
                </c:pt>
                <c:pt idx="5">
                  <c:v>1.1008807999999999E-11</c:v>
                </c:pt>
                <c:pt idx="6">
                  <c:v>4.8376101000000001E-13</c:v>
                </c:pt>
                <c:pt idx="7">
                  <c:v>4.3053063999999996E-6</c:v>
                </c:pt>
                <c:pt idx="8">
                  <c:v>3.6779301999999998E-8</c:v>
                </c:pt>
                <c:pt idx="9">
                  <c:v>7.1846142000000001E-7</c:v>
                </c:pt>
                <c:pt idx="10">
                  <c:v>8.0284083999999992E-6</c:v>
                </c:pt>
                <c:pt idx="11">
                  <c:v>2.1294694999999999E-2</c:v>
                </c:pt>
                <c:pt idx="12">
                  <c:v>1.7057049E-3</c:v>
                </c:pt>
                <c:pt idx="13">
                  <c:v>1.8448910000000001E-4</c:v>
                </c:pt>
                <c:pt idx="14">
                  <c:v>1.0650208E-2</c:v>
                </c:pt>
                <c:pt idx="15">
                  <c:v>2.3612131000000001E-9</c:v>
                </c:pt>
              </c:numCache>
            </c:numRef>
          </c:val>
          <c:extLst>
            <c:ext xmlns:c16="http://schemas.microsoft.com/office/drawing/2014/chart" uri="{C3380CC4-5D6E-409C-BE32-E72D297353CC}">
              <c16:uniqueId val="{0000000E-2082-4EB7-903F-3C8ED080FFEB}"/>
            </c:ext>
          </c:extLst>
        </c:ser>
        <c:ser>
          <c:idx val="15"/>
          <c:order val="15"/>
          <c:tx>
            <c:strRef>
              <c:f>contribution_pack!$S$7</c:f>
              <c:strCache>
                <c:ptCount val="1"/>
                <c:pt idx="0">
                  <c:v>BMS</c:v>
                </c:pt>
              </c:strCache>
            </c:strRef>
          </c:tx>
          <c:spPr>
            <a:solidFill>
              <a:schemeClr val="accent4">
                <a:lumMod val="80000"/>
                <a:lumOff val="20000"/>
              </a:schemeClr>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contribution_pack!$S$48:$S$63</c:f>
              <c:numCache>
                <c:formatCode>0.00E+00</c:formatCode>
                <c:ptCount val="16"/>
                <c:pt idx="0">
                  <c:v>2.2073254000000002</c:v>
                </c:pt>
                <c:pt idx="1">
                  <c:v>1.8710483E-7</c:v>
                </c:pt>
                <c:pt idx="2">
                  <c:v>0.10083499</c:v>
                </c:pt>
                <c:pt idx="3">
                  <c:v>1.0090531999999999E-2</c:v>
                </c:pt>
                <c:pt idx="4">
                  <c:v>1.29304E-7</c:v>
                </c:pt>
                <c:pt idx="5">
                  <c:v>1.4980226E-7</c:v>
                </c:pt>
                <c:pt idx="6">
                  <c:v>3.4965927999999999E-9</c:v>
                </c:pt>
                <c:pt idx="7">
                  <c:v>2.1330646000000002E-2</c:v>
                </c:pt>
                <c:pt idx="8">
                  <c:v>4.3042923000000002E-4</c:v>
                </c:pt>
                <c:pt idx="9">
                  <c:v>3.0355899999999999E-3</c:v>
                </c:pt>
                <c:pt idx="10">
                  <c:v>3.6872982999999998E-2</c:v>
                </c:pt>
                <c:pt idx="11">
                  <c:v>241.15585999999999</c:v>
                </c:pt>
                <c:pt idx="12">
                  <c:v>17.801985999999999</c:v>
                </c:pt>
                <c:pt idx="13">
                  <c:v>0.56190028999999997</c:v>
                </c:pt>
                <c:pt idx="14">
                  <c:v>26.705762</c:v>
                </c:pt>
                <c:pt idx="15">
                  <c:v>1.1603414E-3</c:v>
                </c:pt>
              </c:numCache>
            </c:numRef>
          </c:val>
          <c:extLst>
            <c:ext xmlns:c16="http://schemas.microsoft.com/office/drawing/2014/chart" uri="{C3380CC4-5D6E-409C-BE32-E72D297353CC}">
              <c16:uniqueId val="{0000000F-2082-4EB7-903F-3C8ED080FFEB}"/>
            </c:ext>
          </c:extLst>
        </c:ser>
        <c:ser>
          <c:idx val="16"/>
          <c:order val="16"/>
          <c:tx>
            <c:strRef>
              <c:f>contribution_pack!$T$7</c:f>
              <c:strCache>
                <c:ptCount val="1"/>
                <c:pt idx="0">
                  <c:v>Electronic component, passive, unspecified {GLO}| market for | Cut-off, U</c:v>
                </c:pt>
              </c:strCache>
            </c:strRef>
          </c:tx>
          <c:spPr>
            <a:solidFill>
              <a:schemeClr val="accent5">
                <a:lumMod val="80000"/>
                <a:lumOff val="20000"/>
              </a:schemeClr>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contribution_pack!$T$48:$T$63</c:f>
              <c:numCache>
                <c:formatCode>0.00E+00</c:formatCode>
                <c:ptCount val="16"/>
                <c:pt idx="0">
                  <c:v>0.35992551</c:v>
                </c:pt>
                <c:pt idx="1">
                  <c:v>2.5611799E-8</c:v>
                </c:pt>
                <c:pt idx="2">
                  <c:v>1.7325047E-2</c:v>
                </c:pt>
                <c:pt idx="3">
                  <c:v>2.3987918999999998E-3</c:v>
                </c:pt>
                <c:pt idx="4">
                  <c:v>2.3875511000000001E-8</c:v>
                </c:pt>
                <c:pt idx="5">
                  <c:v>1.7679932999999999E-8</c:v>
                </c:pt>
                <c:pt idx="6">
                  <c:v>3.5909995000000002E-10</c:v>
                </c:pt>
                <c:pt idx="7">
                  <c:v>4.0039526999999997E-3</c:v>
                </c:pt>
                <c:pt idx="8">
                  <c:v>6.6102202000000004E-5</c:v>
                </c:pt>
                <c:pt idx="9">
                  <c:v>6.0222314000000002E-4</c:v>
                </c:pt>
                <c:pt idx="10">
                  <c:v>7.3096037000000003E-3</c:v>
                </c:pt>
                <c:pt idx="11">
                  <c:v>50.185862999999998</c:v>
                </c:pt>
                <c:pt idx="12">
                  <c:v>3.1169514</c:v>
                </c:pt>
                <c:pt idx="13">
                  <c:v>0.10147792999999999</c:v>
                </c:pt>
                <c:pt idx="14">
                  <c:v>4.6155821000000001</c:v>
                </c:pt>
                <c:pt idx="15">
                  <c:v>2.8469592000000002E-4</c:v>
                </c:pt>
              </c:numCache>
            </c:numRef>
          </c:val>
          <c:extLst>
            <c:ext xmlns:c16="http://schemas.microsoft.com/office/drawing/2014/chart" uri="{C3380CC4-5D6E-409C-BE32-E72D297353CC}">
              <c16:uniqueId val="{00000010-2082-4EB7-903F-3C8ED080FFEB}"/>
            </c:ext>
          </c:extLst>
        </c:ser>
        <c:ser>
          <c:idx val="17"/>
          <c:order val="17"/>
          <c:tx>
            <c:strRef>
              <c:f>contribution_pack!$U$7</c:f>
              <c:strCache>
                <c:ptCount val="1"/>
                <c:pt idx="0">
                  <c:v>Metal working factory {GLO}| market for | Cut-off, U</c:v>
                </c:pt>
              </c:strCache>
            </c:strRef>
          </c:tx>
          <c:spPr>
            <a:solidFill>
              <a:schemeClr val="accent6">
                <a:lumMod val="80000"/>
                <a:lumOff val="20000"/>
              </a:schemeClr>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contribution_pack!$U$48:$U$63</c:f>
              <c:numCache>
                <c:formatCode>0.00E+00</c:formatCode>
                <c:ptCount val="16"/>
                <c:pt idx="0">
                  <c:v>0.20650723000000001</c:v>
                </c:pt>
                <c:pt idx="1">
                  <c:v>2.8493648000000001E-8</c:v>
                </c:pt>
                <c:pt idx="2">
                  <c:v>9.5394955E-3</c:v>
                </c:pt>
                <c:pt idx="3">
                  <c:v>1.2934856E-3</c:v>
                </c:pt>
                <c:pt idx="4">
                  <c:v>2.5613455999999999E-8</c:v>
                </c:pt>
                <c:pt idx="5">
                  <c:v>4.9579200999999998E-9</c:v>
                </c:pt>
                <c:pt idx="6">
                  <c:v>3.672101E-10</c:v>
                </c:pt>
                <c:pt idx="7">
                  <c:v>2.0316716999999999E-3</c:v>
                </c:pt>
                <c:pt idx="8">
                  <c:v>5.7036553000000002E-6</c:v>
                </c:pt>
                <c:pt idx="9">
                  <c:v>3.4535220000000001E-4</c:v>
                </c:pt>
                <c:pt idx="10">
                  <c:v>7.2354712000000003E-3</c:v>
                </c:pt>
                <c:pt idx="11">
                  <c:v>5.4133586999999999</c:v>
                </c:pt>
                <c:pt idx="12">
                  <c:v>20.460075</c:v>
                </c:pt>
                <c:pt idx="13">
                  <c:v>5.3560692E-2</c:v>
                </c:pt>
                <c:pt idx="14">
                  <c:v>2.8190696000000002</c:v>
                </c:pt>
                <c:pt idx="15">
                  <c:v>1.3501008E-4</c:v>
                </c:pt>
              </c:numCache>
            </c:numRef>
          </c:val>
          <c:extLst>
            <c:ext xmlns:c16="http://schemas.microsoft.com/office/drawing/2014/chart" uri="{C3380CC4-5D6E-409C-BE32-E72D297353CC}">
              <c16:uniqueId val="{00000011-2082-4EB7-903F-3C8ED080FFEB}"/>
            </c:ext>
          </c:extLst>
        </c:ser>
        <c:ser>
          <c:idx val="18"/>
          <c:order val="18"/>
          <c:tx>
            <c:strRef>
              <c:f>contribution_pack!$V$7</c:f>
              <c:strCache>
                <c:ptCount val="1"/>
                <c:pt idx="0">
                  <c:v>Electricity, medium voltage {CN}| market group for | Cut-off, U</c:v>
                </c:pt>
              </c:strCache>
            </c:strRef>
          </c:tx>
          <c:spPr>
            <a:solidFill>
              <a:schemeClr val="accent1">
                <a:lumMod val="80000"/>
              </a:schemeClr>
            </a:solidFill>
            <a:ln>
              <a:noFill/>
            </a:ln>
            <a:effectLst/>
          </c:spPr>
          <c:invertIfNegative val="0"/>
          <c:cat>
            <c:strRef>
              <c:f>contribution_pack!$A$48:$A$63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contribution_pack!$V$48:$V$63</c:f>
              <c:numCache>
                <c:formatCode>0.00E+00</c:formatCode>
                <c:ptCount val="16"/>
                <c:pt idx="0">
                  <c:v>2.9470736999999999E-4</c:v>
                </c:pt>
                <c:pt idx="1">
                  <c:v>1.8587757999999999E-12</c:v>
                </c:pt>
                <c:pt idx="2">
                  <c:v>1.6690746E-6</c:v>
                </c:pt>
                <c:pt idx="3">
                  <c:v>9.0186832999999999E-7</c:v>
                </c:pt>
                <c:pt idx="4">
                  <c:v>2.0872485000000001E-11</c:v>
                </c:pt>
                <c:pt idx="5">
                  <c:v>2.9182419999999998E-12</c:v>
                </c:pt>
                <c:pt idx="6">
                  <c:v>5.9492387E-14</c:v>
                </c:pt>
                <c:pt idx="7">
                  <c:v>1.5289479999999999E-6</c:v>
                </c:pt>
                <c:pt idx="8">
                  <c:v>6.1969416999999996E-9</c:v>
                </c:pt>
                <c:pt idx="9">
                  <c:v>3.1645877E-7</c:v>
                </c:pt>
                <c:pt idx="10">
                  <c:v>3.4816845000000002E-6</c:v>
                </c:pt>
                <c:pt idx="11">
                  <c:v>7.4473263000000003E-3</c:v>
                </c:pt>
                <c:pt idx="12">
                  <c:v>5.5965940999999999E-4</c:v>
                </c:pt>
                <c:pt idx="13">
                  <c:v>3.0147430000000001E-5</c:v>
                </c:pt>
                <c:pt idx="14">
                  <c:v>2.5978717000000001E-3</c:v>
                </c:pt>
                <c:pt idx="15">
                  <c:v>3.8332792E-10</c:v>
                </c:pt>
              </c:numCache>
            </c:numRef>
          </c:val>
          <c:extLst>
            <c:ext xmlns:c16="http://schemas.microsoft.com/office/drawing/2014/chart" uri="{C3380CC4-5D6E-409C-BE32-E72D297353CC}">
              <c16:uniqueId val="{00000012-2082-4EB7-903F-3C8ED080FFEB}"/>
            </c:ext>
          </c:extLst>
        </c:ser>
        <c:dLbls>
          <c:showLegendKey val="0"/>
          <c:showVal val="0"/>
          <c:showCatName val="0"/>
          <c:showSerName val="0"/>
          <c:showPercent val="0"/>
          <c:showBubbleSize val="0"/>
        </c:dLbls>
        <c:gapWidth val="150"/>
        <c:overlap val="100"/>
        <c:axId val="513835240"/>
        <c:axId val="513832616"/>
      </c:barChart>
      <c:catAx>
        <c:axId val="513835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832616"/>
        <c:crosses val="autoZero"/>
        <c:auto val="1"/>
        <c:lblAlgn val="ctr"/>
        <c:lblOffset val="100"/>
        <c:noMultiLvlLbl val="0"/>
      </c:catAx>
      <c:valAx>
        <c:axId val="5138326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835240"/>
        <c:crosses val="autoZero"/>
        <c:crossBetween val="between"/>
      </c:valAx>
      <c:spPr>
        <a:noFill/>
        <a:ln>
          <a:noFill/>
        </a:ln>
        <a:effectLst/>
      </c:spPr>
    </c:plotArea>
    <c:legend>
      <c:legendPos val="b"/>
      <c:layout>
        <c:manualLayout>
          <c:xMode val="edge"/>
          <c:yMode val="edge"/>
          <c:x val="3.5490297842209001E-2"/>
          <c:y val="0.8514047499644708"/>
          <c:w val="0.93896344234930884"/>
          <c:h val="0.136147788288604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271635016376729E-2"/>
          <c:y val="3.7573609105166259E-2"/>
          <c:w val="0.92349759222475403"/>
          <c:h val="0.58552843722281112"/>
        </c:manualLayout>
      </c:layout>
      <c:barChart>
        <c:barDir val="col"/>
        <c:grouping val="percentStacked"/>
        <c:varyColors val="0"/>
        <c:ser>
          <c:idx val="0"/>
          <c:order val="0"/>
          <c:tx>
            <c:strRef>
              <c:f>contribution_cell!$D$7</c:f>
              <c:strCache>
                <c:ptCount val="1"/>
                <c:pt idx="0">
                  <c:v>NMC111 cathode</c:v>
                </c:pt>
              </c:strCache>
            </c:strRef>
          </c:tx>
          <c:spPr>
            <a:solidFill>
              <a:schemeClr val="accent1"/>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contribution_cell!$D$8:$D$23</c:f>
              <c:numCache>
                <c:formatCode>0.00E+00</c:formatCode>
                <c:ptCount val="16"/>
                <c:pt idx="0">
                  <c:v>8.7338456999999998</c:v>
                </c:pt>
                <c:pt idx="1">
                  <c:v>8.1242910000000005E-7</c:v>
                </c:pt>
                <c:pt idx="2">
                  <c:v>0.18243907000000001</c:v>
                </c:pt>
                <c:pt idx="3">
                  <c:v>5.4815774999999997E-2</c:v>
                </c:pt>
                <c:pt idx="4">
                  <c:v>4.6106646000000001E-6</c:v>
                </c:pt>
                <c:pt idx="5">
                  <c:v>1.651161E-7</c:v>
                </c:pt>
                <c:pt idx="6">
                  <c:v>7.2593213999999997E-9</c:v>
                </c:pt>
                <c:pt idx="7">
                  <c:v>0.35198705000000002</c:v>
                </c:pt>
                <c:pt idx="8">
                  <c:v>3.0707616E-4</c:v>
                </c:pt>
                <c:pt idx="9">
                  <c:v>1.2265547E-2</c:v>
                </c:pt>
                <c:pt idx="10">
                  <c:v>0.17525404999999999</c:v>
                </c:pt>
                <c:pt idx="11">
                  <c:v>650.23272999999995</c:v>
                </c:pt>
                <c:pt idx="12">
                  <c:v>31.406414999999999</c:v>
                </c:pt>
                <c:pt idx="13">
                  <c:v>3.0825930000000001</c:v>
                </c:pt>
                <c:pt idx="14">
                  <c:v>93.158559999999994</c:v>
                </c:pt>
                <c:pt idx="15">
                  <c:v>5.2983629999999999E-4</c:v>
                </c:pt>
              </c:numCache>
            </c:numRef>
          </c:val>
          <c:extLst>
            <c:ext xmlns:c16="http://schemas.microsoft.com/office/drawing/2014/chart" uri="{C3380CC4-5D6E-409C-BE32-E72D297353CC}">
              <c16:uniqueId val="{00000000-398B-419B-87D2-B0397E130852}"/>
            </c:ext>
          </c:extLst>
        </c:ser>
        <c:ser>
          <c:idx val="1"/>
          <c:order val="1"/>
          <c:tx>
            <c:strRef>
              <c:f>contribution_cell!$E$7</c:f>
              <c:strCache>
                <c:ptCount val="1"/>
                <c:pt idx="0">
                  <c:v>Anode, synthetic graphite</c:v>
                </c:pt>
              </c:strCache>
            </c:strRef>
          </c:tx>
          <c:spPr>
            <a:solidFill>
              <a:schemeClr val="accent2"/>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contribution_cell!$E$8:$E$23</c:f>
              <c:numCache>
                <c:formatCode>0.00E+00</c:formatCode>
                <c:ptCount val="16"/>
                <c:pt idx="0">
                  <c:v>1.2528971</c:v>
                </c:pt>
                <c:pt idx="1">
                  <c:v>1.3756749000000001E-7</c:v>
                </c:pt>
                <c:pt idx="2">
                  <c:v>3.8104471000000001E-2</c:v>
                </c:pt>
                <c:pt idx="3">
                  <c:v>6.4771745999999998E-3</c:v>
                </c:pt>
                <c:pt idx="4">
                  <c:v>2.6983027E-7</c:v>
                </c:pt>
                <c:pt idx="5">
                  <c:v>1.3738612E-8</c:v>
                </c:pt>
                <c:pt idx="6">
                  <c:v>3.355145E-10</c:v>
                </c:pt>
                <c:pt idx="7">
                  <c:v>2.3647069999999999E-2</c:v>
                </c:pt>
                <c:pt idx="8">
                  <c:v>2.4191736999999999E-5</c:v>
                </c:pt>
                <c:pt idx="9">
                  <c:v>1.9064541E-3</c:v>
                </c:pt>
                <c:pt idx="10">
                  <c:v>2.0946584000000001E-2</c:v>
                </c:pt>
                <c:pt idx="11">
                  <c:v>30.501353000000002</c:v>
                </c:pt>
                <c:pt idx="12">
                  <c:v>3.5769796</c:v>
                </c:pt>
                <c:pt idx="13">
                  <c:v>0.12935573</c:v>
                </c:pt>
                <c:pt idx="14">
                  <c:v>17.732279999999999</c:v>
                </c:pt>
                <c:pt idx="15">
                  <c:v>8.3796888000000005E-6</c:v>
                </c:pt>
              </c:numCache>
            </c:numRef>
          </c:val>
          <c:extLst>
            <c:ext xmlns:c16="http://schemas.microsoft.com/office/drawing/2014/chart" uri="{C3380CC4-5D6E-409C-BE32-E72D297353CC}">
              <c16:uniqueId val="{00000013-398B-419B-87D2-B0397E130852}"/>
            </c:ext>
          </c:extLst>
        </c:ser>
        <c:ser>
          <c:idx val="2"/>
          <c:order val="2"/>
          <c:tx>
            <c:strRef>
              <c:f>contribution_cell!$F$7</c:f>
              <c:strCache>
                <c:ptCount val="1"/>
                <c:pt idx="0">
                  <c:v>Al current collector</c:v>
                </c:pt>
              </c:strCache>
            </c:strRef>
          </c:tx>
          <c:spPr>
            <a:solidFill>
              <a:schemeClr val="accent3"/>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contribution_cell!$F$8:$F$23</c:f>
              <c:numCache>
                <c:formatCode>0.00E+00</c:formatCode>
                <c:ptCount val="16"/>
                <c:pt idx="0">
                  <c:v>0.47928706999999998</c:v>
                </c:pt>
                <c:pt idx="1">
                  <c:v>2.6358211000000001E-8</c:v>
                </c:pt>
                <c:pt idx="2">
                  <c:v>7.5870861000000003E-3</c:v>
                </c:pt>
                <c:pt idx="3">
                  <c:v>1.4729272E-3</c:v>
                </c:pt>
                <c:pt idx="4">
                  <c:v>3.3670883000000003E-8</c:v>
                </c:pt>
                <c:pt idx="5">
                  <c:v>1.1663757E-8</c:v>
                </c:pt>
                <c:pt idx="6">
                  <c:v>6.0375095E-10</c:v>
                </c:pt>
                <c:pt idx="7">
                  <c:v>2.9932576999999998E-3</c:v>
                </c:pt>
                <c:pt idx="8">
                  <c:v>1.6188237E-5</c:v>
                </c:pt>
                <c:pt idx="9">
                  <c:v>4.4499838E-4</c:v>
                </c:pt>
                <c:pt idx="10">
                  <c:v>4.9619649999999996E-3</c:v>
                </c:pt>
                <c:pt idx="11">
                  <c:v>12.329857000000001</c:v>
                </c:pt>
                <c:pt idx="12">
                  <c:v>0.89815465000000005</c:v>
                </c:pt>
                <c:pt idx="13">
                  <c:v>8.2622859000000007E-2</c:v>
                </c:pt>
                <c:pt idx="14">
                  <c:v>4.3729456999999998</c:v>
                </c:pt>
                <c:pt idx="15">
                  <c:v>3.7828451000000001E-6</c:v>
                </c:pt>
              </c:numCache>
            </c:numRef>
          </c:val>
          <c:extLst>
            <c:ext xmlns:c16="http://schemas.microsoft.com/office/drawing/2014/chart" uri="{C3380CC4-5D6E-409C-BE32-E72D297353CC}">
              <c16:uniqueId val="{00000014-398B-419B-87D2-B0397E130852}"/>
            </c:ext>
          </c:extLst>
        </c:ser>
        <c:ser>
          <c:idx val="3"/>
          <c:order val="3"/>
          <c:tx>
            <c:strRef>
              <c:f>contribution_cell!$G$7</c:f>
              <c:strCache>
                <c:ptCount val="1"/>
                <c:pt idx="0">
                  <c:v>Cu current collector</c:v>
                </c:pt>
              </c:strCache>
            </c:strRef>
          </c:tx>
          <c:spPr>
            <a:solidFill>
              <a:schemeClr val="accent4"/>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contribution_cell!$G$8:$G$23</c:f>
              <c:numCache>
                <c:formatCode>0.00E+00</c:formatCode>
                <c:ptCount val="16"/>
                <c:pt idx="0">
                  <c:v>0.85474799000000001</c:v>
                </c:pt>
                <c:pt idx="1">
                  <c:v>7.5436169000000006E-8</c:v>
                </c:pt>
                <c:pt idx="2">
                  <c:v>2.4683249000000001E-2</c:v>
                </c:pt>
                <c:pt idx="3">
                  <c:v>1.3765707E-2</c:v>
                </c:pt>
                <c:pt idx="4">
                  <c:v>1.6087196E-7</c:v>
                </c:pt>
                <c:pt idx="5">
                  <c:v>8.1975309999999999E-7</c:v>
                </c:pt>
                <c:pt idx="6">
                  <c:v>9.6294439000000006E-9</c:v>
                </c:pt>
                <c:pt idx="7">
                  <c:v>7.2120347000000001E-2</c:v>
                </c:pt>
                <c:pt idx="8">
                  <c:v>5.7390383E-4</c:v>
                </c:pt>
                <c:pt idx="9">
                  <c:v>3.4117421000000002E-3</c:v>
                </c:pt>
                <c:pt idx="10">
                  <c:v>5.1340706999999999E-2</c:v>
                </c:pt>
                <c:pt idx="11">
                  <c:v>691.38692000000003</c:v>
                </c:pt>
                <c:pt idx="12">
                  <c:v>10.605626000000001</c:v>
                </c:pt>
                <c:pt idx="13">
                  <c:v>0.63674947000000004</c:v>
                </c:pt>
                <c:pt idx="14">
                  <c:v>8.0111564000000008</c:v>
                </c:pt>
                <c:pt idx="15">
                  <c:v>4.2314909000000002E-4</c:v>
                </c:pt>
              </c:numCache>
            </c:numRef>
          </c:val>
          <c:extLst>
            <c:ext xmlns:c16="http://schemas.microsoft.com/office/drawing/2014/chart" uri="{C3380CC4-5D6E-409C-BE32-E72D297353CC}">
              <c16:uniqueId val="{00000015-398B-419B-87D2-B0397E130852}"/>
            </c:ext>
          </c:extLst>
        </c:ser>
        <c:ser>
          <c:idx val="4"/>
          <c:order val="4"/>
          <c:tx>
            <c:strRef>
              <c:f>contribution_cell!$H$7</c:f>
              <c:strCache>
                <c:ptCount val="1"/>
                <c:pt idx="0">
                  <c:v>Separator, single layer, coated, PE &amp; extrusion</c:v>
                </c:pt>
              </c:strCache>
            </c:strRef>
          </c:tx>
          <c:spPr>
            <a:solidFill>
              <a:schemeClr val="accent5"/>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contribution_cell!$H$8:$H$23</c:f>
              <c:numCache>
                <c:formatCode>0.00E+00</c:formatCode>
                <c:ptCount val="16"/>
                <c:pt idx="0">
                  <c:v>9.4848157000000002E-2</c:v>
                </c:pt>
                <c:pt idx="1">
                  <c:v>5.2399549999999998E-9</c:v>
                </c:pt>
                <c:pt idx="2">
                  <c:v>2.8524665999999999E-3</c:v>
                </c:pt>
                <c:pt idx="3">
                  <c:v>2.9371266999999999E-4</c:v>
                </c:pt>
                <c:pt idx="4">
                  <c:v>3.3720996999999999E-9</c:v>
                </c:pt>
                <c:pt idx="5">
                  <c:v>1.0994615999999999E-9</c:v>
                </c:pt>
                <c:pt idx="6">
                  <c:v>3.1545575000000002E-11</c:v>
                </c:pt>
                <c:pt idx="7">
                  <c:v>4.2510056000000002E-4</c:v>
                </c:pt>
                <c:pt idx="8">
                  <c:v>2.7863742000000001E-6</c:v>
                </c:pt>
                <c:pt idx="9">
                  <c:v>6.1429240000000001E-5</c:v>
                </c:pt>
                <c:pt idx="10">
                  <c:v>6.7961032999999996E-4</c:v>
                </c:pt>
                <c:pt idx="11">
                  <c:v>1.2429291</c:v>
                </c:pt>
                <c:pt idx="12">
                  <c:v>0.24189551000000001</c:v>
                </c:pt>
                <c:pt idx="13">
                  <c:v>4.0917640999999998E-2</c:v>
                </c:pt>
                <c:pt idx="14">
                  <c:v>1.4915342</c:v>
                </c:pt>
                <c:pt idx="15">
                  <c:v>2.9628445999999998E-6</c:v>
                </c:pt>
              </c:numCache>
            </c:numRef>
          </c:val>
          <c:extLst>
            <c:ext xmlns:c16="http://schemas.microsoft.com/office/drawing/2014/chart" uri="{C3380CC4-5D6E-409C-BE32-E72D297353CC}">
              <c16:uniqueId val="{00000016-398B-419B-87D2-B0397E130852}"/>
            </c:ext>
          </c:extLst>
        </c:ser>
        <c:ser>
          <c:idx val="5"/>
          <c:order val="5"/>
          <c:tx>
            <c:strRef>
              <c:f>contribution_cell!$I$7</c:f>
              <c:strCache>
                <c:ptCount val="1"/>
                <c:pt idx="0">
                  <c:v>Electrolyte</c:v>
                </c:pt>
              </c:strCache>
            </c:strRef>
          </c:tx>
          <c:spPr>
            <a:solidFill>
              <a:schemeClr val="accent6"/>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contribution_cell!$I$8:$I$23</c:f>
              <c:numCache>
                <c:formatCode>0.00E+00</c:formatCode>
                <c:ptCount val="16"/>
                <c:pt idx="0">
                  <c:v>0.68118067000000004</c:v>
                </c:pt>
                <c:pt idx="1">
                  <c:v>6.4363473000000001E-8</c:v>
                </c:pt>
                <c:pt idx="2">
                  <c:v>3.0586729E-2</c:v>
                </c:pt>
                <c:pt idx="3">
                  <c:v>2.3178114000000001E-3</c:v>
                </c:pt>
                <c:pt idx="4">
                  <c:v>3.5330059000000002E-8</c:v>
                </c:pt>
                <c:pt idx="5">
                  <c:v>1.3116406E-7</c:v>
                </c:pt>
                <c:pt idx="6">
                  <c:v>3.7044991000000001E-10</c:v>
                </c:pt>
                <c:pt idx="7">
                  <c:v>5.2107133000000002E-3</c:v>
                </c:pt>
                <c:pt idx="8">
                  <c:v>3.0851340999999999E-5</c:v>
                </c:pt>
                <c:pt idx="9">
                  <c:v>6.9610258000000005E-4</c:v>
                </c:pt>
                <c:pt idx="10">
                  <c:v>6.5898166000000003E-3</c:v>
                </c:pt>
                <c:pt idx="11">
                  <c:v>19.100909000000001</c:v>
                </c:pt>
                <c:pt idx="12">
                  <c:v>2.8154777000000002</c:v>
                </c:pt>
                <c:pt idx="13">
                  <c:v>0.39138276</c:v>
                </c:pt>
                <c:pt idx="14">
                  <c:v>11.074934000000001</c:v>
                </c:pt>
                <c:pt idx="15">
                  <c:v>2.3675217E-5</c:v>
                </c:pt>
              </c:numCache>
            </c:numRef>
          </c:val>
          <c:extLst>
            <c:ext xmlns:c16="http://schemas.microsoft.com/office/drawing/2014/chart" uri="{C3380CC4-5D6E-409C-BE32-E72D297353CC}">
              <c16:uniqueId val="{00000017-398B-419B-87D2-B0397E130852}"/>
            </c:ext>
          </c:extLst>
        </c:ser>
        <c:ser>
          <c:idx val="6"/>
          <c:order val="6"/>
          <c:tx>
            <c:strRef>
              <c:f>contribution_cell!$J$7</c:f>
              <c:strCache>
                <c:ptCount val="1"/>
                <c:pt idx="0">
                  <c:v>Polyethylene terephthalate, granulate, amorphous {GLO}| market for | Cut-off, U</c:v>
                </c:pt>
              </c:strCache>
            </c:strRef>
          </c:tx>
          <c:spPr>
            <a:solidFill>
              <a:schemeClr val="accent1">
                <a:lumMod val="60000"/>
              </a:schemeClr>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contribution_cell!$J$8:$J$23</c:f>
              <c:numCache>
                <c:formatCode>0.00E+00</c:formatCode>
                <c:ptCount val="16"/>
                <c:pt idx="0">
                  <c:v>9.1121154000000006E-3</c:v>
                </c:pt>
                <c:pt idx="1">
                  <c:v>4.8837958000000001E-10</c:v>
                </c:pt>
                <c:pt idx="2">
                  <c:v>2.1270206999999999E-4</c:v>
                </c:pt>
                <c:pt idx="3">
                  <c:v>2.8427599999999999E-5</c:v>
                </c:pt>
                <c:pt idx="4">
                  <c:v>3.5665707000000001E-10</c:v>
                </c:pt>
                <c:pt idx="5">
                  <c:v>9.3959019E-11</c:v>
                </c:pt>
                <c:pt idx="6">
                  <c:v>4.3823366000000001E-12</c:v>
                </c:pt>
                <c:pt idx="7">
                  <c:v>4.0104504E-5</c:v>
                </c:pt>
                <c:pt idx="8">
                  <c:v>2.3276908999999999E-7</c:v>
                </c:pt>
                <c:pt idx="9">
                  <c:v>7.2444421000000003E-6</c:v>
                </c:pt>
                <c:pt idx="10">
                  <c:v>7.8539081999999999E-5</c:v>
                </c:pt>
                <c:pt idx="11">
                  <c:v>0.13578488999999999</c:v>
                </c:pt>
                <c:pt idx="12">
                  <c:v>2.2436889000000002E-2</c:v>
                </c:pt>
                <c:pt idx="13">
                  <c:v>4.0377286999999998E-3</c:v>
                </c:pt>
                <c:pt idx="14">
                  <c:v>0.20109024</c:v>
                </c:pt>
                <c:pt idx="15">
                  <c:v>1.6041657E-7</c:v>
                </c:pt>
              </c:numCache>
            </c:numRef>
          </c:val>
          <c:extLst>
            <c:ext xmlns:c16="http://schemas.microsoft.com/office/drawing/2014/chart" uri="{C3380CC4-5D6E-409C-BE32-E72D297353CC}">
              <c16:uniqueId val="{00000018-398B-419B-87D2-B0397E130852}"/>
            </c:ext>
          </c:extLst>
        </c:ser>
        <c:ser>
          <c:idx val="7"/>
          <c:order val="7"/>
          <c:tx>
            <c:strRef>
              <c:f>contribution_cell!$K$7</c:f>
              <c:strCache>
                <c:ptCount val="1"/>
                <c:pt idx="0">
                  <c:v>Extrusion, plastic film {GLO}| market for | Cut-off, U</c:v>
                </c:pt>
              </c:strCache>
            </c:strRef>
          </c:tx>
          <c:spPr>
            <a:solidFill>
              <a:schemeClr val="accent2">
                <a:lumMod val="60000"/>
              </a:schemeClr>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contribution_cell!$K$8:$K$23</c:f>
              <c:numCache>
                <c:formatCode>0.00E+00</c:formatCode>
                <c:ptCount val="16"/>
                <c:pt idx="0">
                  <c:v>1.6123395999999999E-3</c:v>
                </c:pt>
                <c:pt idx="1">
                  <c:v>8.2416373000000005E-11</c:v>
                </c:pt>
                <c:pt idx="2">
                  <c:v>9.5019059000000001E-5</c:v>
                </c:pt>
                <c:pt idx="3">
                  <c:v>4.2697058999999998E-6</c:v>
                </c:pt>
                <c:pt idx="4">
                  <c:v>7.0738033999999995E-11</c:v>
                </c:pt>
                <c:pt idx="5">
                  <c:v>1.5039331999999999E-11</c:v>
                </c:pt>
                <c:pt idx="6">
                  <c:v>7.5072841000000004E-13</c:v>
                </c:pt>
                <c:pt idx="7">
                  <c:v>8.0264621999999994E-6</c:v>
                </c:pt>
                <c:pt idx="8">
                  <c:v>8.7629581E-8</c:v>
                </c:pt>
                <c:pt idx="9">
                  <c:v>1.3576626999999999E-6</c:v>
                </c:pt>
                <c:pt idx="10">
                  <c:v>1.5552211999999999E-5</c:v>
                </c:pt>
                <c:pt idx="11">
                  <c:v>2.8550854000000001E-2</c:v>
                </c:pt>
                <c:pt idx="12">
                  <c:v>2.5131938E-2</c:v>
                </c:pt>
                <c:pt idx="13">
                  <c:v>2.3155708000000001E-3</c:v>
                </c:pt>
                <c:pt idx="14">
                  <c:v>2.1632861E-2</c:v>
                </c:pt>
                <c:pt idx="15">
                  <c:v>1.5926732999999999E-8</c:v>
                </c:pt>
              </c:numCache>
            </c:numRef>
          </c:val>
          <c:extLst>
            <c:ext xmlns:c16="http://schemas.microsoft.com/office/drawing/2014/chart" uri="{C3380CC4-5D6E-409C-BE32-E72D297353CC}">
              <c16:uniqueId val="{00000019-398B-419B-87D2-B0397E130852}"/>
            </c:ext>
          </c:extLst>
        </c:ser>
        <c:ser>
          <c:idx val="8"/>
          <c:order val="8"/>
          <c:tx>
            <c:strRef>
              <c:f>contribution_cell!$L$7</c:f>
              <c:strCache>
                <c:ptCount val="1"/>
                <c:pt idx="0">
                  <c:v>Polypropylene, granulate {GLO}| market for | Cut-off, U</c:v>
                </c:pt>
              </c:strCache>
            </c:strRef>
          </c:tx>
          <c:spPr>
            <a:solidFill>
              <a:schemeClr val="accent3">
                <a:lumMod val="60000"/>
              </a:schemeClr>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contribution_cell!$L$8:$L$23</c:f>
              <c:numCache>
                <c:formatCode>0.00E+00</c:formatCode>
                <c:ptCount val="16"/>
                <c:pt idx="0">
                  <c:v>3.019136E-3</c:v>
                </c:pt>
                <c:pt idx="1">
                  <c:v>6.1539655999999997E-11</c:v>
                </c:pt>
                <c:pt idx="2">
                  <c:v>3.5040424999999999E-5</c:v>
                </c:pt>
                <c:pt idx="3">
                  <c:v>9.8957546999999998E-6</c:v>
                </c:pt>
                <c:pt idx="4">
                  <c:v>1.0070186E-10</c:v>
                </c:pt>
                <c:pt idx="5">
                  <c:v>2.161085E-11</c:v>
                </c:pt>
                <c:pt idx="6">
                  <c:v>6.9648180000000001E-13</c:v>
                </c:pt>
                <c:pt idx="7">
                  <c:v>1.2140447999999999E-5</c:v>
                </c:pt>
                <c:pt idx="8">
                  <c:v>5.9970140000000005E-8</c:v>
                </c:pt>
                <c:pt idx="9">
                  <c:v>2.1882057999999999E-6</c:v>
                </c:pt>
                <c:pt idx="10">
                  <c:v>2.4344331000000001E-5</c:v>
                </c:pt>
                <c:pt idx="11">
                  <c:v>3.1662401999999999E-2</c:v>
                </c:pt>
                <c:pt idx="12">
                  <c:v>4.2137896000000001E-3</c:v>
                </c:pt>
                <c:pt idx="13">
                  <c:v>1.1961655000000001E-3</c:v>
                </c:pt>
                <c:pt idx="14">
                  <c:v>9.5565288999999998E-2</c:v>
                </c:pt>
                <c:pt idx="15">
                  <c:v>2.8104816E-8</c:v>
                </c:pt>
              </c:numCache>
            </c:numRef>
          </c:val>
          <c:extLst>
            <c:ext xmlns:c16="http://schemas.microsoft.com/office/drawing/2014/chart" uri="{C3380CC4-5D6E-409C-BE32-E72D297353CC}">
              <c16:uniqueId val="{0000001A-398B-419B-87D2-B0397E130852}"/>
            </c:ext>
          </c:extLst>
        </c:ser>
        <c:ser>
          <c:idx val="9"/>
          <c:order val="9"/>
          <c:tx>
            <c:strRef>
              <c:f>contribution_cell!$M$7</c:f>
              <c:strCache>
                <c:ptCount val="1"/>
                <c:pt idx="0">
                  <c:v>Extrusion, plastic film {GLO}| market for | Cut-off, U</c:v>
                </c:pt>
              </c:strCache>
            </c:strRef>
          </c:tx>
          <c:spPr>
            <a:solidFill>
              <a:schemeClr val="accent4">
                <a:lumMod val="60000"/>
              </a:schemeClr>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contribution_cell!$M$8:$M$23</c:f>
              <c:numCache>
                <c:formatCode>0.00E+00</c:formatCode>
                <c:ptCount val="16"/>
                <c:pt idx="0">
                  <c:v>7.2438427000000001E-4</c:v>
                </c:pt>
                <c:pt idx="1">
                  <c:v>3.7027637E-11</c:v>
                </c:pt>
                <c:pt idx="2">
                  <c:v>4.2689711999999998E-5</c:v>
                </c:pt>
                <c:pt idx="3">
                  <c:v>1.9182732000000001E-6</c:v>
                </c:pt>
                <c:pt idx="4">
                  <c:v>3.1780847999999997E-11</c:v>
                </c:pt>
                <c:pt idx="5">
                  <c:v>6.7567997000000003E-12</c:v>
                </c:pt>
                <c:pt idx="6">
                  <c:v>3.3728370000000002E-13</c:v>
                </c:pt>
                <c:pt idx="7">
                  <c:v>3.6060908000000002E-6</c:v>
                </c:pt>
                <c:pt idx="8">
                  <c:v>3.9369801999999998E-8</c:v>
                </c:pt>
                <c:pt idx="9">
                  <c:v>6.0996426000000004E-7</c:v>
                </c:pt>
                <c:pt idx="10">
                  <c:v>6.9872239999999996E-6</c:v>
                </c:pt>
                <c:pt idx="11">
                  <c:v>1.2827191999999999E-2</c:v>
                </c:pt>
                <c:pt idx="12">
                  <c:v>1.1291158000000001E-2</c:v>
                </c:pt>
                <c:pt idx="13">
                  <c:v>1.0403286000000001E-3</c:v>
                </c:pt>
                <c:pt idx="14">
                  <c:v>9.7191093000000006E-3</c:v>
                </c:pt>
                <c:pt idx="15">
                  <c:v>7.1554869999999999E-9</c:v>
                </c:pt>
              </c:numCache>
            </c:numRef>
          </c:val>
          <c:extLst>
            <c:ext xmlns:c16="http://schemas.microsoft.com/office/drawing/2014/chart" uri="{C3380CC4-5D6E-409C-BE32-E72D297353CC}">
              <c16:uniqueId val="{0000001B-398B-419B-87D2-B0397E130852}"/>
            </c:ext>
          </c:extLst>
        </c:ser>
        <c:ser>
          <c:idx val="10"/>
          <c:order val="10"/>
          <c:tx>
            <c:strRef>
              <c:f>contribution_cell!$N$7</c:f>
              <c:strCache>
                <c:ptCount val="1"/>
                <c:pt idx="0">
                  <c:v>Aluminium, wrought alloy {GLO}| market for | Cut-off, U</c:v>
                </c:pt>
              </c:strCache>
            </c:strRef>
          </c:tx>
          <c:spPr>
            <a:solidFill>
              <a:schemeClr val="accent5">
                <a:lumMod val="60000"/>
              </a:schemeClr>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contribution_cell!$N$8:$N$23</c:f>
              <c:numCache>
                <c:formatCode>0.00E+00</c:formatCode>
                <c:ptCount val="16"/>
                <c:pt idx="0">
                  <c:v>0.24087201999999999</c:v>
                </c:pt>
                <c:pt idx="1">
                  <c:v>9.5428581999999993E-9</c:v>
                </c:pt>
                <c:pt idx="2">
                  <c:v>3.4834796E-3</c:v>
                </c:pt>
                <c:pt idx="3">
                  <c:v>7.7759735999999996E-4</c:v>
                </c:pt>
                <c:pt idx="4">
                  <c:v>1.8396795E-8</c:v>
                </c:pt>
                <c:pt idx="5">
                  <c:v>6.3283854000000001E-9</c:v>
                </c:pt>
                <c:pt idx="6">
                  <c:v>3.3977746E-10</c:v>
                </c:pt>
                <c:pt idx="7">
                  <c:v>1.5967227999999999E-3</c:v>
                </c:pt>
                <c:pt idx="8">
                  <c:v>8.2480103000000002E-6</c:v>
                </c:pt>
                <c:pt idx="9">
                  <c:v>2.3766752000000001E-4</c:v>
                </c:pt>
                <c:pt idx="10">
                  <c:v>2.6506633999999999E-3</c:v>
                </c:pt>
                <c:pt idx="11">
                  <c:v>6.4727733000000001</c:v>
                </c:pt>
                <c:pt idx="12">
                  <c:v>0.44488347</c:v>
                </c:pt>
                <c:pt idx="13">
                  <c:v>3.3702889999999999E-2</c:v>
                </c:pt>
                <c:pt idx="14">
                  <c:v>2.2783471999999998</c:v>
                </c:pt>
                <c:pt idx="15">
                  <c:v>8.4992119000000001E-7</c:v>
                </c:pt>
              </c:numCache>
            </c:numRef>
          </c:val>
          <c:extLst>
            <c:ext xmlns:c16="http://schemas.microsoft.com/office/drawing/2014/chart" uri="{C3380CC4-5D6E-409C-BE32-E72D297353CC}">
              <c16:uniqueId val="{0000001C-398B-419B-87D2-B0397E130852}"/>
            </c:ext>
          </c:extLst>
        </c:ser>
        <c:ser>
          <c:idx val="11"/>
          <c:order val="11"/>
          <c:tx>
            <c:strRef>
              <c:f>contribution_cell!$O$7</c:f>
              <c:strCache>
                <c:ptCount val="1"/>
                <c:pt idx="0">
                  <c:v>Sheet rolling, aluminium {GLO}| market for | Cut-off, U</c:v>
                </c:pt>
              </c:strCache>
            </c:strRef>
          </c:tx>
          <c:spPr>
            <a:solidFill>
              <a:schemeClr val="accent6">
                <a:lumMod val="60000"/>
              </a:schemeClr>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contribution_cell!$O$8:$O$23</c:f>
              <c:numCache>
                <c:formatCode>0.00E+00</c:formatCode>
                <c:ptCount val="16"/>
                <c:pt idx="0">
                  <c:v>1.1986124000000001E-2</c:v>
                </c:pt>
                <c:pt idx="1">
                  <c:v>6.0989058000000005E-10</c:v>
                </c:pt>
                <c:pt idx="2">
                  <c:v>4.5195350000000001E-4</c:v>
                </c:pt>
                <c:pt idx="3">
                  <c:v>4.0541662999999997E-5</c:v>
                </c:pt>
                <c:pt idx="4">
                  <c:v>5.2619388999999998E-10</c:v>
                </c:pt>
                <c:pt idx="5">
                  <c:v>1.5131975999999999E-10</c:v>
                </c:pt>
                <c:pt idx="6">
                  <c:v>6.6494575000000004E-12</c:v>
                </c:pt>
                <c:pt idx="7">
                  <c:v>5.9177881999999999E-5</c:v>
                </c:pt>
                <c:pt idx="8">
                  <c:v>5.0554386000000004E-7</c:v>
                </c:pt>
                <c:pt idx="9">
                  <c:v>9.8754934999999994E-6</c:v>
                </c:pt>
                <c:pt idx="10">
                  <c:v>1.1035317E-4</c:v>
                </c:pt>
                <c:pt idx="11">
                  <c:v>0.29270274000000002</c:v>
                </c:pt>
                <c:pt idx="12">
                  <c:v>2.3445487000000001E-2</c:v>
                </c:pt>
                <c:pt idx="13">
                  <c:v>2.5358645999999999E-3</c:v>
                </c:pt>
                <c:pt idx="14">
                  <c:v>0.14639068999999999</c:v>
                </c:pt>
                <c:pt idx="15">
                  <c:v>3.2455668000000003E-8</c:v>
                </c:pt>
              </c:numCache>
            </c:numRef>
          </c:val>
          <c:extLst>
            <c:ext xmlns:c16="http://schemas.microsoft.com/office/drawing/2014/chart" uri="{C3380CC4-5D6E-409C-BE32-E72D297353CC}">
              <c16:uniqueId val="{0000001D-398B-419B-87D2-B0397E130852}"/>
            </c:ext>
          </c:extLst>
        </c:ser>
        <c:ser>
          <c:idx val="12"/>
          <c:order val="12"/>
          <c:tx>
            <c:strRef>
              <c:f>contribution_cell!$P$7</c:f>
              <c:strCache>
                <c:ptCount val="1"/>
                <c:pt idx="0">
                  <c:v>Aluminium, wrought alloy {GLO}| market for | Cut-off, U</c:v>
                </c:pt>
              </c:strCache>
            </c:strRef>
          </c:tx>
          <c:spPr>
            <a:solidFill>
              <a:schemeClr val="accent1">
                <a:lumMod val="80000"/>
                <a:lumOff val="20000"/>
              </a:schemeClr>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contribution_cell!$P$8:$P$23</c:f>
              <c:numCache>
                <c:formatCode>0.00E+00</c:formatCode>
                <c:ptCount val="16"/>
                <c:pt idx="0">
                  <c:v>0.13369502</c:v>
                </c:pt>
                <c:pt idx="1">
                  <c:v>5.2967239999999999E-9</c:v>
                </c:pt>
                <c:pt idx="2">
                  <c:v>1.9334909E-3</c:v>
                </c:pt>
                <c:pt idx="3">
                  <c:v>4.3160220000000002E-4</c:v>
                </c:pt>
                <c:pt idx="4">
                  <c:v>1.0211065E-8</c:v>
                </c:pt>
                <c:pt idx="5">
                  <c:v>3.5125442E-9</c:v>
                </c:pt>
                <c:pt idx="6">
                  <c:v>1.8859207000000001E-10</c:v>
                </c:pt>
                <c:pt idx="7">
                  <c:v>8.8625442E-4</c:v>
                </c:pt>
                <c:pt idx="8">
                  <c:v>4.5780239999999999E-6</c:v>
                </c:pt>
                <c:pt idx="9">
                  <c:v>1.3191637E-4</c:v>
                </c:pt>
                <c:pt idx="10">
                  <c:v>1.4712397999999999E-3</c:v>
                </c:pt>
                <c:pt idx="11">
                  <c:v>3.5926860999999999</c:v>
                </c:pt>
                <c:pt idx="12">
                  <c:v>0.24693072999999999</c:v>
                </c:pt>
                <c:pt idx="13">
                  <c:v>1.8706649999999998E-2</c:v>
                </c:pt>
                <c:pt idx="14">
                  <c:v>1.2645872</c:v>
                </c:pt>
                <c:pt idx="15">
                  <c:v>4.7174524000000002E-7</c:v>
                </c:pt>
              </c:numCache>
            </c:numRef>
          </c:val>
          <c:extLst>
            <c:ext xmlns:c16="http://schemas.microsoft.com/office/drawing/2014/chart" uri="{C3380CC4-5D6E-409C-BE32-E72D297353CC}">
              <c16:uniqueId val="{0000001E-398B-419B-87D2-B0397E130852}"/>
            </c:ext>
          </c:extLst>
        </c:ser>
        <c:ser>
          <c:idx val="13"/>
          <c:order val="13"/>
          <c:tx>
            <c:strRef>
              <c:f>contribution_cell!$Q$7</c:f>
              <c:strCache>
                <c:ptCount val="1"/>
                <c:pt idx="0">
                  <c:v>Sheet rolling, aluminium {GLO}| market for | Cut-off, U</c:v>
                </c:pt>
              </c:strCache>
            </c:strRef>
          </c:tx>
          <c:spPr>
            <a:solidFill>
              <a:schemeClr val="accent2">
                <a:lumMod val="80000"/>
                <a:lumOff val="20000"/>
              </a:schemeClr>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contribution_cell!$Q$8:$Q$23</c:f>
              <c:numCache>
                <c:formatCode>0.00E+00</c:formatCode>
                <c:ptCount val="16"/>
                <c:pt idx="0">
                  <c:v>6.6528487000000001E-3</c:v>
                </c:pt>
                <c:pt idx="1">
                  <c:v>3.3851724999999999E-10</c:v>
                </c:pt>
                <c:pt idx="2">
                  <c:v>2.5085492000000002E-4</c:v>
                </c:pt>
                <c:pt idx="3">
                  <c:v>2.2502483E-5</c:v>
                </c:pt>
                <c:pt idx="4">
                  <c:v>2.9206174000000002E-10</c:v>
                </c:pt>
                <c:pt idx="5">
                  <c:v>8.3989406999999999E-11</c:v>
                </c:pt>
                <c:pt idx="6">
                  <c:v>3.6907538999999996E-12</c:v>
                </c:pt>
                <c:pt idx="7">
                  <c:v>3.2846438999999998E-5</c:v>
                </c:pt>
                <c:pt idx="8">
                  <c:v>2.8060003000000001E-7</c:v>
                </c:pt>
                <c:pt idx="9">
                  <c:v>5.4813519000000002E-6</c:v>
                </c:pt>
                <c:pt idx="10">
                  <c:v>6.1251071000000001E-5</c:v>
                </c:pt>
                <c:pt idx="11">
                  <c:v>0.16246343999999999</c:v>
                </c:pt>
                <c:pt idx="12">
                  <c:v>1.3013321E-2</c:v>
                </c:pt>
                <c:pt idx="13">
                  <c:v>1.4075212E-3</c:v>
                </c:pt>
                <c:pt idx="14">
                  <c:v>8.1253545999999996E-2</c:v>
                </c:pt>
                <c:pt idx="15">
                  <c:v>1.8014383999999998E-8</c:v>
                </c:pt>
              </c:numCache>
            </c:numRef>
          </c:val>
          <c:extLst>
            <c:ext xmlns:c16="http://schemas.microsoft.com/office/drawing/2014/chart" uri="{C3380CC4-5D6E-409C-BE32-E72D297353CC}">
              <c16:uniqueId val="{0000001F-398B-419B-87D2-B0397E130852}"/>
            </c:ext>
          </c:extLst>
        </c:ser>
        <c:ser>
          <c:idx val="14"/>
          <c:order val="14"/>
          <c:tx>
            <c:strRef>
              <c:f>contribution_cell!$R$7</c:f>
              <c:strCache>
                <c:ptCount val="1"/>
                <c:pt idx="0">
                  <c:v>Copper {GLO}| market for | Cut-off, U</c:v>
                </c:pt>
              </c:strCache>
            </c:strRef>
          </c:tx>
          <c:spPr>
            <a:solidFill>
              <a:schemeClr val="accent3">
                <a:lumMod val="80000"/>
                <a:lumOff val="20000"/>
              </a:schemeClr>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contribution_cell!$R$8:$R$23</c:f>
              <c:numCache>
                <c:formatCode>0.00E+00</c:formatCode>
                <c:ptCount val="16"/>
                <c:pt idx="0">
                  <c:v>0.16094918999999999</c:v>
                </c:pt>
                <c:pt idx="1">
                  <c:v>9.3968118999999993E-9</c:v>
                </c:pt>
                <c:pt idx="2">
                  <c:v>4.9582539E-3</c:v>
                </c:pt>
                <c:pt idx="3">
                  <c:v>3.4488267000000001E-3</c:v>
                </c:pt>
                <c:pt idx="4">
                  <c:v>3.9688295999999999E-8</c:v>
                </c:pt>
                <c:pt idx="5">
                  <c:v>2.1242571999999999E-7</c:v>
                </c:pt>
                <c:pt idx="6">
                  <c:v>2.4819983999999998E-9</c:v>
                </c:pt>
                <c:pt idx="7">
                  <c:v>1.8519344E-2</c:v>
                </c:pt>
                <c:pt idx="8">
                  <c:v>1.4746898999999999E-4</c:v>
                </c:pt>
                <c:pt idx="9">
                  <c:v>8.5301243000000001E-4</c:v>
                </c:pt>
                <c:pt idx="10">
                  <c:v>1.2943100000000001E-2</c:v>
                </c:pt>
                <c:pt idx="11">
                  <c:v>178.49345</c:v>
                </c:pt>
                <c:pt idx="12">
                  <c:v>2.4530723000000001</c:v>
                </c:pt>
                <c:pt idx="13">
                  <c:v>0.13354804000000001</c:v>
                </c:pt>
                <c:pt idx="14">
                  <c:v>1.6926413</c:v>
                </c:pt>
                <c:pt idx="15">
                  <c:v>1.0563609E-4</c:v>
                </c:pt>
              </c:numCache>
            </c:numRef>
          </c:val>
          <c:extLst>
            <c:ext xmlns:c16="http://schemas.microsoft.com/office/drawing/2014/chart" uri="{C3380CC4-5D6E-409C-BE32-E72D297353CC}">
              <c16:uniqueId val="{00000020-398B-419B-87D2-B0397E130852}"/>
            </c:ext>
          </c:extLst>
        </c:ser>
        <c:ser>
          <c:idx val="15"/>
          <c:order val="15"/>
          <c:tx>
            <c:strRef>
              <c:f>contribution_cell!$S$7</c:f>
              <c:strCache>
                <c:ptCount val="1"/>
                <c:pt idx="0">
                  <c:v>Sheet rolling, copper {GLO}| market for | Cut-off, U</c:v>
                </c:pt>
              </c:strCache>
            </c:strRef>
          </c:tx>
          <c:spPr>
            <a:solidFill>
              <a:schemeClr val="accent4">
                <a:lumMod val="80000"/>
                <a:lumOff val="20000"/>
              </a:schemeClr>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contribution_cell!$S$8:$S$23</c:f>
              <c:numCache>
                <c:formatCode>0.00E+00</c:formatCode>
                <c:ptCount val="16"/>
                <c:pt idx="0">
                  <c:v>1.5863571999999999E-2</c:v>
                </c:pt>
                <c:pt idx="1">
                  <c:v>9.5201103999999998E-10</c:v>
                </c:pt>
                <c:pt idx="2">
                  <c:v>6.7447771000000002E-4</c:v>
                </c:pt>
                <c:pt idx="3">
                  <c:v>1.7614045E-4</c:v>
                </c:pt>
                <c:pt idx="4">
                  <c:v>2.0583643E-9</c:v>
                </c:pt>
                <c:pt idx="5">
                  <c:v>8.5102066999999995E-9</c:v>
                </c:pt>
                <c:pt idx="6">
                  <c:v>1.0370983999999999E-10</c:v>
                </c:pt>
                <c:pt idx="7">
                  <c:v>7.8232045000000002E-4</c:v>
                </c:pt>
                <c:pt idx="8">
                  <c:v>6.2782169000000002E-6</c:v>
                </c:pt>
                <c:pt idx="9">
                  <c:v>4.1109217999999999E-5</c:v>
                </c:pt>
                <c:pt idx="10">
                  <c:v>5.9282781999999996E-4</c:v>
                </c:pt>
                <c:pt idx="11">
                  <c:v>7.5250311999999999</c:v>
                </c:pt>
                <c:pt idx="12">
                  <c:v>0.13881719000000001</c:v>
                </c:pt>
                <c:pt idx="13">
                  <c:v>1.6150522E-2</c:v>
                </c:pt>
                <c:pt idx="14">
                  <c:v>0.18749971000000001</c:v>
                </c:pt>
                <c:pt idx="15">
                  <c:v>4.2158107999999997E-6</c:v>
                </c:pt>
              </c:numCache>
            </c:numRef>
          </c:val>
          <c:extLst>
            <c:ext xmlns:c16="http://schemas.microsoft.com/office/drawing/2014/chart" uri="{C3380CC4-5D6E-409C-BE32-E72D297353CC}">
              <c16:uniqueId val="{00000021-398B-419B-87D2-B0397E130852}"/>
            </c:ext>
          </c:extLst>
        </c:ser>
        <c:ser>
          <c:idx val="16"/>
          <c:order val="16"/>
          <c:tx>
            <c:strRef>
              <c:f>contribution_cell!$T$7</c:f>
              <c:strCache>
                <c:ptCount val="1"/>
                <c:pt idx="0">
                  <c:v>Chemical factory, organics {GLO}| market for | Cut-off, U</c:v>
                </c:pt>
              </c:strCache>
            </c:strRef>
          </c:tx>
          <c:spPr>
            <a:solidFill>
              <a:schemeClr val="accent5">
                <a:lumMod val="80000"/>
                <a:lumOff val="20000"/>
              </a:schemeClr>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contribution_cell!$T$8:$T$23</c:f>
              <c:numCache>
                <c:formatCode>0.00E+00</c:formatCode>
                <c:ptCount val="16"/>
                <c:pt idx="0">
                  <c:v>5.9828266999999997E-2</c:v>
                </c:pt>
                <c:pt idx="1">
                  <c:v>3.8261005999999996E-9</c:v>
                </c:pt>
                <c:pt idx="2">
                  <c:v>2.9145620999999999E-3</c:v>
                </c:pt>
                <c:pt idx="3">
                  <c:v>2.6936385999999998E-4</c:v>
                </c:pt>
                <c:pt idx="4">
                  <c:v>4.5565934000000001E-9</c:v>
                </c:pt>
                <c:pt idx="5">
                  <c:v>6.1115888E-9</c:v>
                </c:pt>
                <c:pt idx="6">
                  <c:v>2.2773698E-10</c:v>
                </c:pt>
                <c:pt idx="7">
                  <c:v>7.2446816000000004E-4</c:v>
                </c:pt>
                <c:pt idx="8">
                  <c:v>6.9164806999999996E-6</c:v>
                </c:pt>
                <c:pt idx="9">
                  <c:v>7.6075858000000006E-5</c:v>
                </c:pt>
                <c:pt idx="10">
                  <c:v>9.6792598E-4</c:v>
                </c:pt>
                <c:pt idx="11">
                  <c:v>5.6277007000000001</c:v>
                </c:pt>
                <c:pt idx="12">
                  <c:v>0.99396057999999998</c:v>
                </c:pt>
                <c:pt idx="13">
                  <c:v>1.5737735999999999E-2</c:v>
                </c:pt>
                <c:pt idx="14">
                  <c:v>0.71770858999999998</c:v>
                </c:pt>
                <c:pt idx="15">
                  <c:v>1.6292863E-5</c:v>
                </c:pt>
              </c:numCache>
            </c:numRef>
          </c:val>
          <c:extLst>
            <c:ext xmlns:c16="http://schemas.microsoft.com/office/drawing/2014/chart" uri="{C3380CC4-5D6E-409C-BE32-E72D297353CC}">
              <c16:uniqueId val="{00000022-398B-419B-87D2-B0397E130852}"/>
            </c:ext>
          </c:extLst>
        </c:ser>
        <c:ser>
          <c:idx val="17"/>
          <c:order val="17"/>
          <c:tx>
            <c:strRef>
              <c:f>contribution_cell!$U$7</c:f>
              <c:strCache>
                <c:ptCount val="1"/>
                <c:pt idx="0">
                  <c:v>Electricity, medium voltage {CN}| market group for | Cut-off, U</c:v>
                </c:pt>
              </c:strCache>
            </c:strRef>
          </c:tx>
          <c:spPr>
            <a:solidFill>
              <a:schemeClr val="accent6">
                <a:lumMod val="80000"/>
                <a:lumOff val="20000"/>
              </a:schemeClr>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contribution_cell!$U$8:$U$23</c:f>
              <c:numCache>
                <c:formatCode>0.00E+00</c:formatCode>
                <c:ptCount val="16"/>
                <c:pt idx="0">
                  <c:v>0.95794630000000003</c:v>
                </c:pt>
                <c:pt idx="1">
                  <c:v>6.0419506000000004E-9</c:v>
                </c:pt>
                <c:pt idx="2">
                  <c:v>5.4253269000000002E-3</c:v>
                </c:pt>
                <c:pt idx="3">
                  <c:v>2.9315230000000001E-3</c:v>
                </c:pt>
                <c:pt idx="4">
                  <c:v>6.7846013000000005E-8</c:v>
                </c:pt>
                <c:pt idx="5">
                  <c:v>9.4857454999999996E-9</c:v>
                </c:pt>
                <c:pt idx="6">
                  <c:v>1.9338000000000001E-10</c:v>
                </c:pt>
                <c:pt idx="7">
                  <c:v>4.9698455999999998E-3</c:v>
                </c:pt>
                <c:pt idx="8">
                  <c:v>2.0143158999999998E-5</c:v>
                </c:pt>
                <c:pt idx="9">
                  <c:v>1.0286492E-3</c:v>
                </c:pt>
                <c:pt idx="10">
                  <c:v>1.1317215E-2</c:v>
                </c:pt>
                <c:pt idx="11">
                  <c:v>24.207533999999999</c:v>
                </c:pt>
                <c:pt idx="12">
                  <c:v>1.8191729000000001</c:v>
                </c:pt>
                <c:pt idx="13">
                  <c:v>9.7994218999999994E-2</c:v>
                </c:pt>
                <c:pt idx="14">
                  <c:v>8.4443818999999998</c:v>
                </c:pt>
                <c:pt idx="15">
                  <c:v>1.2460074E-6</c:v>
                </c:pt>
              </c:numCache>
            </c:numRef>
          </c:val>
          <c:extLst>
            <c:ext xmlns:c16="http://schemas.microsoft.com/office/drawing/2014/chart" uri="{C3380CC4-5D6E-409C-BE32-E72D297353CC}">
              <c16:uniqueId val="{00000023-398B-419B-87D2-B0397E130852}"/>
            </c:ext>
          </c:extLst>
        </c:ser>
        <c:ser>
          <c:idx val="18"/>
          <c:order val="18"/>
          <c:tx>
            <c:strRef>
              <c:f>contribution_cell!$V$7</c:f>
              <c:strCache>
                <c:ptCount val="1"/>
                <c:pt idx="0">
                  <c:v>Heat, district or industrial, natural gas {GLO}| market group for | Cut-off, U</c:v>
                </c:pt>
              </c:strCache>
            </c:strRef>
          </c:tx>
          <c:spPr>
            <a:solidFill>
              <a:schemeClr val="accent1">
                <a:lumMod val="80000"/>
              </a:schemeClr>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contribution_cell!$V$8:$V$23</c:f>
              <c:numCache>
                <c:formatCode>0.00E+00</c:formatCode>
                <c:ptCount val="16"/>
                <c:pt idx="0">
                  <c:v>0.52345357999999997</c:v>
                </c:pt>
                <c:pt idx="1">
                  <c:v>6.3830647000000001E-8</c:v>
                </c:pt>
                <c:pt idx="2">
                  <c:v>1.7097702000000001E-3</c:v>
                </c:pt>
                <c:pt idx="3">
                  <c:v>6.9623734999999995E-4</c:v>
                </c:pt>
                <c:pt idx="4">
                  <c:v>2.1059219999999999E-9</c:v>
                </c:pt>
                <c:pt idx="5">
                  <c:v>1.0972548E-9</c:v>
                </c:pt>
                <c:pt idx="6">
                  <c:v>4.4553398000000001E-11</c:v>
                </c:pt>
                <c:pt idx="7">
                  <c:v>7.1838825999999997E-4</c:v>
                </c:pt>
                <c:pt idx="8">
                  <c:v>7.6893735000000002E-7</c:v>
                </c:pt>
                <c:pt idx="9">
                  <c:v>1.7455237E-4</c:v>
                </c:pt>
                <c:pt idx="10">
                  <c:v>1.909317E-3</c:v>
                </c:pt>
                <c:pt idx="11">
                  <c:v>1.5970511999999999</c:v>
                </c:pt>
                <c:pt idx="12">
                  <c:v>0.26449112000000002</c:v>
                </c:pt>
                <c:pt idx="13">
                  <c:v>1.5655057E-2</c:v>
                </c:pt>
                <c:pt idx="14">
                  <c:v>8.1589679000000004</c:v>
                </c:pt>
                <c:pt idx="15">
                  <c:v>2.4784548E-7</c:v>
                </c:pt>
              </c:numCache>
            </c:numRef>
          </c:val>
          <c:extLst>
            <c:ext xmlns:c16="http://schemas.microsoft.com/office/drawing/2014/chart" uri="{C3380CC4-5D6E-409C-BE32-E72D297353CC}">
              <c16:uniqueId val="{00000024-398B-419B-87D2-B0397E130852}"/>
            </c:ext>
          </c:extLst>
        </c:ser>
        <c:ser>
          <c:idx val="19"/>
          <c:order val="19"/>
          <c:tx>
            <c:strRef>
              <c:f>contribution_cell!$W$7</c:f>
              <c:strCache>
                <c:ptCount val="1"/>
                <c:pt idx="0">
                  <c:v>Electricity, medium voltage {CN}| market group for | Cut-off, U</c:v>
                </c:pt>
              </c:strCache>
            </c:strRef>
          </c:tx>
          <c:spPr>
            <a:solidFill>
              <a:schemeClr val="accent2">
                <a:lumMod val="80000"/>
              </a:schemeClr>
            </a:solidFill>
            <a:ln>
              <a:noFill/>
            </a:ln>
            <a:effectLst/>
          </c:spPr>
          <c:invertIfNegative val="0"/>
          <c:cat>
            <c:strRef>
              <c:f>contribution_cell!$A$8:$A$23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contribution_cell!$W$8:$W$23</c:f>
              <c:numCache>
                <c:formatCode>0.00E+00</c:formatCode>
                <c:ptCount val="16"/>
                <c:pt idx="0">
                  <c:v>0.30189822999999999</c:v>
                </c:pt>
                <c:pt idx="1">
                  <c:v>1.9041299000000001E-9</c:v>
                </c:pt>
                <c:pt idx="2">
                  <c:v>1.7098E-3</c:v>
                </c:pt>
                <c:pt idx="3">
                  <c:v>9.2387391999999998E-4</c:v>
                </c:pt>
                <c:pt idx="4">
                  <c:v>2.1381774E-8</c:v>
                </c:pt>
                <c:pt idx="5">
                  <c:v>2.9894471000000002E-9</c:v>
                </c:pt>
                <c:pt idx="6">
                  <c:v>6.0944001000000001E-11</c:v>
                </c:pt>
                <c:pt idx="7">
                  <c:v>1.5662543999999999E-3</c:v>
                </c:pt>
                <c:pt idx="8">
                  <c:v>6.3481472000000004E-6</c:v>
                </c:pt>
                <c:pt idx="9">
                  <c:v>3.2418037000000002E-4</c:v>
                </c:pt>
                <c:pt idx="10">
                  <c:v>3.5666375999999999E-3</c:v>
                </c:pt>
                <c:pt idx="11">
                  <c:v>7.629041</c:v>
                </c:pt>
                <c:pt idx="12">
                  <c:v>0.57331509999999997</c:v>
                </c:pt>
                <c:pt idx="13">
                  <c:v>3.0883027E-2</c:v>
                </c:pt>
                <c:pt idx="14">
                  <c:v>2.6612597</c:v>
                </c:pt>
                <c:pt idx="15">
                  <c:v>3.9268111999999998E-7</c:v>
                </c:pt>
              </c:numCache>
            </c:numRef>
          </c:val>
          <c:extLst>
            <c:ext xmlns:c16="http://schemas.microsoft.com/office/drawing/2014/chart" uri="{C3380CC4-5D6E-409C-BE32-E72D297353CC}">
              <c16:uniqueId val="{00000025-398B-419B-87D2-B0397E130852}"/>
            </c:ext>
          </c:extLst>
        </c:ser>
        <c:dLbls>
          <c:showLegendKey val="0"/>
          <c:showVal val="0"/>
          <c:showCatName val="0"/>
          <c:showSerName val="0"/>
          <c:showPercent val="0"/>
          <c:showBubbleSize val="0"/>
        </c:dLbls>
        <c:gapWidth val="150"/>
        <c:overlap val="100"/>
        <c:axId val="513835240"/>
        <c:axId val="513832616"/>
      </c:barChart>
      <c:catAx>
        <c:axId val="513835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832616"/>
        <c:crosses val="autoZero"/>
        <c:auto val="1"/>
        <c:lblAlgn val="ctr"/>
        <c:lblOffset val="100"/>
        <c:noMultiLvlLbl val="0"/>
      </c:catAx>
      <c:valAx>
        <c:axId val="5138326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835240"/>
        <c:crosses val="autoZero"/>
        <c:crossBetween val="between"/>
      </c:valAx>
      <c:spPr>
        <a:noFill/>
        <a:ln w="25400">
          <a:noFill/>
        </a:ln>
        <a:effectLst/>
      </c:spPr>
    </c:plotArea>
    <c:legend>
      <c:legendPos val="b"/>
      <c:layout>
        <c:manualLayout>
          <c:xMode val="edge"/>
          <c:yMode val="edge"/>
          <c:x val="3.5490297842209001E-2"/>
          <c:y val="0.8514047499644708"/>
          <c:w val="0.83883360998507828"/>
          <c:h val="0.148595319605918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271635016376729E-2"/>
          <c:y val="3.7573609105166259E-2"/>
          <c:w val="0.92349759222475403"/>
          <c:h val="0.58552843722281112"/>
        </c:manualLayout>
      </c:layout>
      <c:barChart>
        <c:barDir val="col"/>
        <c:grouping val="percentStacked"/>
        <c:varyColors val="0"/>
        <c:ser>
          <c:idx val="0"/>
          <c:order val="0"/>
          <c:tx>
            <c:strRef>
              <c:f>contribution_cell!$D$27</c:f>
              <c:strCache>
                <c:ptCount val="1"/>
                <c:pt idx="0">
                  <c:v>NMC811 cathode</c:v>
                </c:pt>
              </c:strCache>
            </c:strRef>
          </c:tx>
          <c:spPr>
            <a:solidFill>
              <a:schemeClr val="accent1"/>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contribution_cell!$D$28:$D$43</c:f>
              <c:numCache>
                <c:formatCode>0.00E+00</c:formatCode>
                <c:ptCount val="16"/>
                <c:pt idx="0">
                  <c:v>10.092205999999999</c:v>
                </c:pt>
                <c:pt idx="1">
                  <c:v>8.9782214999999999E-7</c:v>
                </c:pt>
                <c:pt idx="2">
                  <c:v>0.27228430999999997</c:v>
                </c:pt>
                <c:pt idx="3">
                  <c:v>8.1289081999999999E-2</c:v>
                </c:pt>
                <c:pt idx="4">
                  <c:v>2.204789E-6</c:v>
                </c:pt>
                <c:pt idx="5">
                  <c:v>2.0665194999999999E-7</c:v>
                </c:pt>
                <c:pt idx="6">
                  <c:v>1.1346824999999999E-8</c:v>
                </c:pt>
                <c:pt idx="7">
                  <c:v>0.69247806999999995</c:v>
                </c:pt>
                <c:pt idx="8">
                  <c:v>4.7540823999999999E-4</c:v>
                </c:pt>
                <c:pt idx="9">
                  <c:v>1.4281986E-2</c:v>
                </c:pt>
                <c:pt idx="10">
                  <c:v>0.20750145</c:v>
                </c:pt>
                <c:pt idx="11">
                  <c:v>1190.0071</c:v>
                </c:pt>
                <c:pt idx="12">
                  <c:v>42.935507999999999</c:v>
                </c:pt>
                <c:pt idx="13">
                  <c:v>3.1247474</c:v>
                </c:pt>
                <c:pt idx="14">
                  <c:v>114.20914999999999</c:v>
                </c:pt>
                <c:pt idx="15">
                  <c:v>5.9996284E-4</c:v>
                </c:pt>
              </c:numCache>
            </c:numRef>
          </c:val>
          <c:extLst>
            <c:ext xmlns:c16="http://schemas.microsoft.com/office/drawing/2014/chart" uri="{C3380CC4-5D6E-409C-BE32-E72D297353CC}">
              <c16:uniqueId val="{00000000-DB21-41B5-A328-3009CE2292BD}"/>
            </c:ext>
          </c:extLst>
        </c:ser>
        <c:ser>
          <c:idx val="1"/>
          <c:order val="1"/>
          <c:tx>
            <c:strRef>
              <c:f>contribution_cell!$E$27</c:f>
              <c:strCache>
                <c:ptCount val="1"/>
                <c:pt idx="0">
                  <c:v>Anode, synthetic graphite</c:v>
                </c:pt>
              </c:strCache>
            </c:strRef>
          </c:tx>
          <c:spPr>
            <a:solidFill>
              <a:schemeClr val="accent2"/>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contribution_cell!$E$28:$E$43</c:f>
              <c:numCache>
                <c:formatCode>0.00E+00</c:formatCode>
                <c:ptCount val="16"/>
                <c:pt idx="0">
                  <c:v>1.3795402999999999</c:v>
                </c:pt>
                <c:pt idx="1">
                  <c:v>1.4837943999999999E-7</c:v>
                </c:pt>
                <c:pt idx="2">
                  <c:v>4.2084471999999998E-2</c:v>
                </c:pt>
                <c:pt idx="3">
                  <c:v>7.0060736999999996E-3</c:v>
                </c:pt>
                <c:pt idx="4">
                  <c:v>2.8508188E-7</c:v>
                </c:pt>
                <c:pt idx="5">
                  <c:v>1.5060780000000001E-8</c:v>
                </c:pt>
                <c:pt idx="6">
                  <c:v>4.4293814000000001E-10</c:v>
                </c:pt>
                <c:pt idx="7">
                  <c:v>2.5119240000000001E-2</c:v>
                </c:pt>
                <c:pt idx="8">
                  <c:v>2.7599576E-5</c:v>
                </c:pt>
                <c:pt idx="9">
                  <c:v>2.057119E-3</c:v>
                </c:pt>
                <c:pt idx="10">
                  <c:v>2.2612481E-2</c:v>
                </c:pt>
                <c:pt idx="11">
                  <c:v>33.030084000000002</c:v>
                </c:pt>
                <c:pt idx="12">
                  <c:v>4.2409920999999997</c:v>
                </c:pt>
                <c:pt idx="13">
                  <c:v>0.14279512</c:v>
                </c:pt>
                <c:pt idx="14">
                  <c:v>19.347097999999999</c:v>
                </c:pt>
                <c:pt idx="15">
                  <c:v>8.9903176000000005E-6</c:v>
                </c:pt>
              </c:numCache>
            </c:numRef>
          </c:val>
          <c:extLst>
            <c:ext xmlns:c16="http://schemas.microsoft.com/office/drawing/2014/chart" uri="{C3380CC4-5D6E-409C-BE32-E72D297353CC}">
              <c16:uniqueId val="{00000014-DB21-41B5-A328-3009CE2292BD}"/>
            </c:ext>
          </c:extLst>
        </c:ser>
        <c:ser>
          <c:idx val="2"/>
          <c:order val="2"/>
          <c:tx>
            <c:strRef>
              <c:f>contribution_cell!$F$27</c:f>
              <c:strCache>
                <c:ptCount val="1"/>
                <c:pt idx="0">
                  <c:v>Al current collector</c:v>
                </c:pt>
              </c:strCache>
            </c:strRef>
          </c:tx>
          <c:spPr>
            <a:solidFill>
              <a:schemeClr val="accent3"/>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contribution_cell!$F$28:$F$43</c:f>
              <c:numCache>
                <c:formatCode>0.00E+00</c:formatCode>
                <c:ptCount val="16"/>
                <c:pt idx="0">
                  <c:v>0.43905095999999999</c:v>
                </c:pt>
                <c:pt idx="1">
                  <c:v>2.4145441E-8</c:v>
                </c:pt>
                <c:pt idx="2">
                  <c:v>6.9501507000000002E-3</c:v>
                </c:pt>
                <c:pt idx="3">
                  <c:v>1.3492751000000001E-3</c:v>
                </c:pt>
                <c:pt idx="4">
                  <c:v>3.0844215E-8</c:v>
                </c:pt>
                <c:pt idx="5">
                  <c:v>1.0684586E-8</c:v>
                </c:pt>
                <c:pt idx="6">
                  <c:v>5.5306610000000003E-10</c:v>
                </c:pt>
                <c:pt idx="7">
                  <c:v>2.7419738999999999E-3</c:v>
                </c:pt>
                <c:pt idx="8">
                  <c:v>1.4829234999999999E-5</c:v>
                </c:pt>
                <c:pt idx="9">
                  <c:v>4.0764079000000001E-4</c:v>
                </c:pt>
                <c:pt idx="10">
                  <c:v>4.5454084000000001E-3</c:v>
                </c:pt>
                <c:pt idx="11">
                  <c:v>11.294765999999999</c:v>
                </c:pt>
                <c:pt idx="12">
                  <c:v>0.82275463000000004</c:v>
                </c:pt>
                <c:pt idx="13">
                  <c:v>7.5686675999999994E-2</c:v>
                </c:pt>
                <c:pt idx="14">
                  <c:v>4.0058372000000002</c:v>
                </c:pt>
                <c:pt idx="15">
                  <c:v>3.4652755000000002E-6</c:v>
                </c:pt>
              </c:numCache>
            </c:numRef>
          </c:val>
          <c:extLst>
            <c:ext xmlns:c16="http://schemas.microsoft.com/office/drawing/2014/chart" uri="{C3380CC4-5D6E-409C-BE32-E72D297353CC}">
              <c16:uniqueId val="{00000015-DB21-41B5-A328-3009CE2292BD}"/>
            </c:ext>
          </c:extLst>
        </c:ser>
        <c:ser>
          <c:idx val="3"/>
          <c:order val="3"/>
          <c:tx>
            <c:strRef>
              <c:f>contribution_cell!$G$27</c:f>
              <c:strCache>
                <c:ptCount val="1"/>
                <c:pt idx="0">
                  <c:v>Cu current collector</c:v>
                </c:pt>
              </c:strCache>
            </c:strRef>
          </c:tx>
          <c:spPr>
            <a:solidFill>
              <a:schemeClr val="accent4"/>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contribution_cell!$G$28:$G$43</c:f>
              <c:numCache>
                <c:formatCode>0.00E+00</c:formatCode>
                <c:ptCount val="16"/>
                <c:pt idx="0">
                  <c:v>0.85811738999999998</c:v>
                </c:pt>
                <c:pt idx="1">
                  <c:v>7.5733536999999996E-8</c:v>
                </c:pt>
                <c:pt idx="2">
                  <c:v>2.4780549999999998E-2</c:v>
                </c:pt>
                <c:pt idx="3">
                  <c:v>1.3819971E-2</c:v>
                </c:pt>
                <c:pt idx="4">
                  <c:v>1.6150610999999999E-7</c:v>
                </c:pt>
                <c:pt idx="5">
                  <c:v>8.2298454999999996E-7</c:v>
                </c:pt>
                <c:pt idx="6">
                  <c:v>9.6674029999999992E-9</c:v>
                </c:pt>
                <c:pt idx="7">
                  <c:v>7.2404644000000004E-2</c:v>
                </c:pt>
                <c:pt idx="8">
                  <c:v>5.7616614000000001E-4</c:v>
                </c:pt>
                <c:pt idx="9">
                  <c:v>3.4251911000000002E-3</c:v>
                </c:pt>
                <c:pt idx="10">
                  <c:v>5.1543090999999999E-2</c:v>
                </c:pt>
                <c:pt idx="11">
                  <c:v>694.11234999999999</c:v>
                </c:pt>
                <c:pt idx="12">
                  <c:v>10.647432999999999</c:v>
                </c:pt>
                <c:pt idx="13">
                  <c:v>0.63925951999999997</c:v>
                </c:pt>
                <c:pt idx="14">
                  <c:v>8.0427362000000002</c:v>
                </c:pt>
                <c:pt idx="15">
                  <c:v>4.2481712999999999E-4</c:v>
                </c:pt>
              </c:numCache>
            </c:numRef>
          </c:val>
          <c:extLst>
            <c:ext xmlns:c16="http://schemas.microsoft.com/office/drawing/2014/chart" uri="{C3380CC4-5D6E-409C-BE32-E72D297353CC}">
              <c16:uniqueId val="{00000016-DB21-41B5-A328-3009CE2292BD}"/>
            </c:ext>
          </c:extLst>
        </c:ser>
        <c:ser>
          <c:idx val="4"/>
          <c:order val="4"/>
          <c:tx>
            <c:strRef>
              <c:f>contribution_cell!$H$27</c:f>
              <c:strCache>
                <c:ptCount val="1"/>
                <c:pt idx="0">
                  <c:v>Separator, single layer, coated, PE &amp; extrusion</c:v>
                </c:pt>
              </c:strCache>
            </c:strRef>
          </c:tx>
          <c:spPr>
            <a:solidFill>
              <a:schemeClr val="accent5"/>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contribution_cell!$H$28:$H$43</c:f>
              <c:numCache>
                <c:formatCode>0.00E+00</c:formatCode>
                <c:ptCount val="16"/>
                <c:pt idx="0">
                  <c:v>9.8458639000000001E-2</c:v>
                </c:pt>
                <c:pt idx="1">
                  <c:v>5.4394187000000002E-9</c:v>
                </c:pt>
                <c:pt idx="2">
                  <c:v>2.9610483000000001E-3</c:v>
                </c:pt>
                <c:pt idx="3">
                  <c:v>3.0489311999999999E-4</c:v>
                </c:pt>
                <c:pt idx="4">
                  <c:v>3.5004617999999999E-9</c:v>
                </c:pt>
                <c:pt idx="5">
                  <c:v>1.1413136E-9</c:v>
                </c:pt>
                <c:pt idx="6">
                  <c:v>3.2746385999999998E-11</c:v>
                </c:pt>
                <c:pt idx="7">
                  <c:v>4.4128240000000001E-4</c:v>
                </c:pt>
                <c:pt idx="8">
                  <c:v>2.8924400999999998E-6</c:v>
                </c:pt>
                <c:pt idx="9">
                  <c:v>6.3767600000000003E-5</c:v>
                </c:pt>
                <c:pt idx="10">
                  <c:v>7.0548032E-4</c:v>
                </c:pt>
                <c:pt idx="11">
                  <c:v>1.2902423000000001</c:v>
                </c:pt>
                <c:pt idx="12">
                  <c:v>0.25110347999999999</c:v>
                </c:pt>
                <c:pt idx="13">
                  <c:v>4.2475208E-2</c:v>
                </c:pt>
                <c:pt idx="14">
                  <c:v>1.5483108000000001</c:v>
                </c:pt>
                <c:pt idx="15">
                  <c:v>3.0756280000000002E-6</c:v>
                </c:pt>
              </c:numCache>
            </c:numRef>
          </c:val>
          <c:extLst>
            <c:ext xmlns:c16="http://schemas.microsoft.com/office/drawing/2014/chart" uri="{C3380CC4-5D6E-409C-BE32-E72D297353CC}">
              <c16:uniqueId val="{00000017-DB21-41B5-A328-3009CE2292BD}"/>
            </c:ext>
          </c:extLst>
        </c:ser>
        <c:ser>
          <c:idx val="5"/>
          <c:order val="5"/>
          <c:tx>
            <c:strRef>
              <c:f>contribution_cell!$I$27</c:f>
              <c:strCache>
                <c:ptCount val="1"/>
                <c:pt idx="0">
                  <c:v>Electrolyte</c:v>
                </c:pt>
              </c:strCache>
            </c:strRef>
          </c:tx>
          <c:spPr>
            <a:solidFill>
              <a:schemeClr val="accent6"/>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contribution_cell!$I$28:$I$43</c:f>
              <c:numCache>
                <c:formatCode>0.00E+00</c:formatCode>
                <c:ptCount val="16"/>
                <c:pt idx="0">
                  <c:v>0.78375207000000002</c:v>
                </c:pt>
                <c:pt idx="1">
                  <c:v>7.4055250000000004E-8</c:v>
                </c:pt>
                <c:pt idx="2">
                  <c:v>3.5192442999999997E-2</c:v>
                </c:pt>
                <c:pt idx="3">
                  <c:v>2.6668248000000002E-3</c:v>
                </c:pt>
                <c:pt idx="4">
                  <c:v>4.0650018999999999E-8</c:v>
                </c:pt>
                <c:pt idx="5">
                  <c:v>1.4983034E-7</c:v>
                </c:pt>
                <c:pt idx="6">
                  <c:v>4.2623180999999998E-10</c:v>
                </c:pt>
                <c:pt idx="7">
                  <c:v>5.9953365000000002E-3</c:v>
                </c:pt>
                <c:pt idx="8">
                  <c:v>3.5496892E-5</c:v>
                </c:pt>
                <c:pt idx="9">
                  <c:v>8.0092073000000001E-4</c:v>
                </c:pt>
                <c:pt idx="10">
                  <c:v>7.5821035000000004E-3</c:v>
                </c:pt>
                <c:pt idx="11">
                  <c:v>16.236615</c:v>
                </c:pt>
                <c:pt idx="12">
                  <c:v>3.2394291000000002</c:v>
                </c:pt>
                <c:pt idx="13">
                  <c:v>0.45031673999999999</c:v>
                </c:pt>
                <c:pt idx="14">
                  <c:v>12.742584000000001</c:v>
                </c:pt>
                <c:pt idx="15">
                  <c:v>2.7240204000000001E-5</c:v>
                </c:pt>
              </c:numCache>
            </c:numRef>
          </c:val>
          <c:extLst>
            <c:ext xmlns:c16="http://schemas.microsoft.com/office/drawing/2014/chart" uri="{C3380CC4-5D6E-409C-BE32-E72D297353CC}">
              <c16:uniqueId val="{00000018-DB21-41B5-A328-3009CE2292BD}"/>
            </c:ext>
          </c:extLst>
        </c:ser>
        <c:ser>
          <c:idx val="6"/>
          <c:order val="6"/>
          <c:tx>
            <c:strRef>
              <c:f>contribution_cell!$J$27</c:f>
              <c:strCache>
                <c:ptCount val="1"/>
                <c:pt idx="0">
                  <c:v>Polyethylene terephthalate, granulate, amorphous {GLO}| market for | Cut-off, U</c:v>
                </c:pt>
              </c:strCache>
            </c:strRef>
          </c:tx>
          <c:spPr>
            <a:solidFill>
              <a:schemeClr val="accent1">
                <a:lumMod val="60000"/>
              </a:schemeClr>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contribution_cell!$J$28:$J$43</c:f>
              <c:numCache>
                <c:formatCode>0.00E+00</c:formatCode>
                <c:ptCount val="16"/>
                <c:pt idx="0">
                  <c:v>9.0558144000000007E-3</c:v>
                </c:pt>
                <c:pt idx="1">
                  <c:v>4.8536203000000001E-10</c:v>
                </c:pt>
                <c:pt idx="2">
                  <c:v>2.1138784000000001E-4</c:v>
                </c:pt>
                <c:pt idx="3">
                  <c:v>2.8251954000000001E-5</c:v>
                </c:pt>
                <c:pt idx="4">
                  <c:v>3.5445339000000001E-10</c:v>
                </c:pt>
                <c:pt idx="5">
                  <c:v>9.3378474000000003E-11</c:v>
                </c:pt>
                <c:pt idx="6">
                  <c:v>4.3552594000000002E-12</c:v>
                </c:pt>
                <c:pt idx="7">
                  <c:v>3.9856710999999997E-5</c:v>
                </c:pt>
                <c:pt idx="8">
                  <c:v>2.3133087E-7</c:v>
                </c:pt>
                <c:pt idx="9">
                  <c:v>7.1996808999999996E-6</c:v>
                </c:pt>
                <c:pt idx="10">
                  <c:v>7.8053812000000001E-5</c:v>
                </c:pt>
                <c:pt idx="11">
                  <c:v>0.13494592</c:v>
                </c:pt>
                <c:pt idx="12">
                  <c:v>2.2298258000000001E-2</c:v>
                </c:pt>
                <c:pt idx="13">
                  <c:v>4.0127807999999999E-3</c:v>
                </c:pt>
                <c:pt idx="14">
                  <c:v>0.19984776000000001</c:v>
                </c:pt>
                <c:pt idx="15">
                  <c:v>1.5942540000000001E-7</c:v>
                </c:pt>
              </c:numCache>
            </c:numRef>
          </c:val>
          <c:extLst>
            <c:ext xmlns:c16="http://schemas.microsoft.com/office/drawing/2014/chart" uri="{C3380CC4-5D6E-409C-BE32-E72D297353CC}">
              <c16:uniqueId val="{00000019-DB21-41B5-A328-3009CE2292BD}"/>
            </c:ext>
          </c:extLst>
        </c:ser>
        <c:ser>
          <c:idx val="7"/>
          <c:order val="7"/>
          <c:tx>
            <c:strRef>
              <c:f>contribution_cell!$K$27</c:f>
              <c:strCache>
                <c:ptCount val="1"/>
                <c:pt idx="0">
                  <c:v>Extrusion, plastic film {GLO}| market for | Cut-off, U</c:v>
                </c:pt>
              </c:strCache>
            </c:strRef>
          </c:tx>
          <c:spPr>
            <a:solidFill>
              <a:schemeClr val="accent2">
                <a:lumMod val="60000"/>
              </a:schemeClr>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contribution_cell!$K$28:$K$43</c:f>
              <c:numCache>
                <c:formatCode>0.00E+00</c:formatCode>
                <c:ptCount val="16"/>
                <c:pt idx="0">
                  <c:v>1.6023774E-3</c:v>
                </c:pt>
                <c:pt idx="1">
                  <c:v>8.1907147000000006E-11</c:v>
                </c:pt>
                <c:pt idx="2">
                  <c:v>9.4431964999999997E-5</c:v>
                </c:pt>
                <c:pt idx="3">
                  <c:v>4.2433246999999999E-6</c:v>
                </c:pt>
                <c:pt idx="4">
                  <c:v>7.0300965E-11</c:v>
                </c:pt>
                <c:pt idx="5">
                  <c:v>1.4946408000000002E-11</c:v>
                </c:pt>
                <c:pt idx="6">
                  <c:v>7.4608987999999998E-13</c:v>
                </c:pt>
                <c:pt idx="7">
                  <c:v>7.9768691E-6</c:v>
                </c:pt>
                <c:pt idx="8">
                  <c:v>8.7088143999999998E-8</c:v>
                </c:pt>
                <c:pt idx="9">
                  <c:v>1.3492741E-6</c:v>
                </c:pt>
                <c:pt idx="10">
                  <c:v>1.5456119000000001E-5</c:v>
                </c:pt>
                <c:pt idx="11">
                  <c:v>2.8374446000000001E-2</c:v>
                </c:pt>
                <c:pt idx="12">
                  <c:v>2.4976656E-2</c:v>
                </c:pt>
                <c:pt idx="13">
                  <c:v>2.3012636000000002E-3</c:v>
                </c:pt>
                <c:pt idx="14">
                  <c:v>2.1499198000000001E-2</c:v>
                </c:pt>
                <c:pt idx="15">
                  <c:v>1.5828327E-8</c:v>
                </c:pt>
              </c:numCache>
            </c:numRef>
          </c:val>
          <c:extLst>
            <c:ext xmlns:c16="http://schemas.microsoft.com/office/drawing/2014/chart" uri="{C3380CC4-5D6E-409C-BE32-E72D297353CC}">
              <c16:uniqueId val="{0000001A-DB21-41B5-A328-3009CE2292BD}"/>
            </c:ext>
          </c:extLst>
        </c:ser>
        <c:ser>
          <c:idx val="8"/>
          <c:order val="8"/>
          <c:tx>
            <c:strRef>
              <c:f>contribution_cell!$L$27</c:f>
              <c:strCache>
                <c:ptCount val="1"/>
                <c:pt idx="0">
                  <c:v>Polypropylene, granulate {GLO}| market for | Cut-off, U</c:v>
                </c:pt>
              </c:strCache>
            </c:strRef>
          </c:tx>
          <c:spPr>
            <a:solidFill>
              <a:schemeClr val="accent3">
                <a:lumMod val="60000"/>
              </a:schemeClr>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contribution_cell!$L$28:$L$43</c:f>
              <c:numCache>
                <c:formatCode>0.00E+00</c:formatCode>
                <c:ptCount val="16"/>
                <c:pt idx="0">
                  <c:v>2.9380608E-3</c:v>
                </c:pt>
                <c:pt idx="1">
                  <c:v>5.9887083000000002E-11</c:v>
                </c:pt>
                <c:pt idx="2">
                  <c:v>3.4099456999999997E-5</c:v>
                </c:pt>
                <c:pt idx="3">
                  <c:v>9.6300161999999996E-6</c:v>
                </c:pt>
                <c:pt idx="4">
                  <c:v>9.7997634000000002E-11</c:v>
                </c:pt>
                <c:pt idx="5">
                  <c:v>2.1030516999999999E-11</c:v>
                </c:pt>
                <c:pt idx="6">
                  <c:v>6.7777862000000004E-13</c:v>
                </c:pt>
                <c:pt idx="7">
                  <c:v>1.1814431E-5</c:v>
                </c:pt>
                <c:pt idx="8">
                  <c:v>5.8359714000000003E-8</c:v>
                </c:pt>
                <c:pt idx="9">
                  <c:v>2.1294442000000001E-6</c:v>
                </c:pt>
                <c:pt idx="10">
                  <c:v>2.3690593000000001E-5</c:v>
                </c:pt>
                <c:pt idx="11">
                  <c:v>3.0812147000000002E-2</c:v>
                </c:pt>
                <c:pt idx="12">
                  <c:v>4.1006334000000004E-3</c:v>
                </c:pt>
                <c:pt idx="13">
                  <c:v>1.1640438999999999E-3</c:v>
                </c:pt>
                <c:pt idx="14">
                  <c:v>9.2998997999999999E-2</c:v>
                </c:pt>
                <c:pt idx="15">
                  <c:v>2.7350095000000001E-8</c:v>
                </c:pt>
              </c:numCache>
            </c:numRef>
          </c:val>
          <c:extLst>
            <c:ext xmlns:c16="http://schemas.microsoft.com/office/drawing/2014/chart" uri="{C3380CC4-5D6E-409C-BE32-E72D297353CC}">
              <c16:uniqueId val="{0000001B-DB21-41B5-A328-3009CE2292BD}"/>
            </c:ext>
          </c:extLst>
        </c:ser>
        <c:ser>
          <c:idx val="9"/>
          <c:order val="9"/>
          <c:tx>
            <c:strRef>
              <c:f>contribution_cell!$M$27</c:f>
              <c:strCache>
                <c:ptCount val="1"/>
                <c:pt idx="0">
                  <c:v>Extrusion, plastic film {GLO}| market for | Cut-off, U</c:v>
                </c:pt>
              </c:strCache>
            </c:strRef>
          </c:tx>
          <c:spPr>
            <a:solidFill>
              <a:schemeClr val="accent4">
                <a:lumMod val="60000"/>
              </a:schemeClr>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contribution_cell!$M$28:$M$43</c:f>
              <c:numCache>
                <c:formatCode>0.00E+00</c:formatCode>
                <c:ptCount val="16"/>
                <c:pt idx="0">
                  <c:v>7.0493179999999995E-4</c:v>
                </c:pt>
                <c:pt idx="1">
                  <c:v>3.6033304999999999E-11</c:v>
                </c:pt>
                <c:pt idx="2">
                  <c:v>4.1543332E-5</c:v>
                </c:pt>
                <c:pt idx="3">
                  <c:v>1.8667603000000001E-6</c:v>
                </c:pt>
                <c:pt idx="4">
                  <c:v>3.0927412000000002E-11</c:v>
                </c:pt>
                <c:pt idx="5">
                  <c:v>6.5753539999999997E-12</c:v>
                </c:pt>
                <c:pt idx="6">
                  <c:v>3.2822635000000002E-13</c:v>
                </c:pt>
                <c:pt idx="7">
                  <c:v>3.5092535999999998E-6</c:v>
                </c:pt>
                <c:pt idx="8">
                  <c:v>3.8312573999999997E-8</c:v>
                </c:pt>
                <c:pt idx="9">
                  <c:v>5.9358439999999997E-7</c:v>
                </c:pt>
                <c:pt idx="10">
                  <c:v>6.7995904999999999E-6</c:v>
                </c:pt>
                <c:pt idx="11">
                  <c:v>1.2482732999999999E-2</c:v>
                </c:pt>
                <c:pt idx="12">
                  <c:v>1.0987948000000001E-2</c:v>
                </c:pt>
                <c:pt idx="13">
                  <c:v>1.0123918999999999E-3</c:v>
                </c:pt>
                <c:pt idx="14">
                  <c:v>9.4581144000000002E-3</c:v>
                </c:pt>
                <c:pt idx="15">
                  <c:v>6.9633351000000002E-9</c:v>
                </c:pt>
              </c:numCache>
            </c:numRef>
          </c:val>
          <c:extLst>
            <c:ext xmlns:c16="http://schemas.microsoft.com/office/drawing/2014/chart" uri="{C3380CC4-5D6E-409C-BE32-E72D297353CC}">
              <c16:uniqueId val="{0000001C-DB21-41B5-A328-3009CE2292BD}"/>
            </c:ext>
          </c:extLst>
        </c:ser>
        <c:ser>
          <c:idx val="10"/>
          <c:order val="10"/>
          <c:tx>
            <c:strRef>
              <c:f>contribution_cell!$N$27</c:f>
              <c:strCache>
                <c:ptCount val="1"/>
                <c:pt idx="0">
                  <c:v>Aluminium, wrought alloy {GLO}| market for | Cut-off, U</c:v>
                </c:pt>
              </c:strCache>
            </c:strRef>
          </c:tx>
          <c:spPr>
            <a:solidFill>
              <a:schemeClr val="accent5">
                <a:lumMod val="60000"/>
              </a:schemeClr>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contribution_cell!$N$28:$N$43</c:f>
              <c:numCache>
                <c:formatCode>0.00E+00</c:formatCode>
                <c:ptCount val="16"/>
                <c:pt idx="0">
                  <c:v>0.23980635</c:v>
                </c:pt>
                <c:pt idx="1">
                  <c:v>9.5006386000000008E-9</c:v>
                </c:pt>
                <c:pt idx="2">
                  <c:v>3.4680678999999999E-3</c:v>
                </c:pt>
                <c:pt idx="3">
                  <c:v>7.7415711000000003E-4</c:v>
                </c:pt>
                <c:pt idx="4">
                  <c:v>1.8315403999999999E-8</c:v>
                </c:pt>
                <c:pt idx="5">
                  <c:v>6.3003873000000004E-9</c:v>
                </c:pt>
                <c:pt idx="6">
                  <c:v>3.3827421E-10</c:v>
                </c:pt>
                <c:pt idx="7">
                  <c:v>1.5896586000000001E-3</c:v>
                </c:pt>
                <c:pt idx="8">
                  <c:v>8.2115192999999994E-6</c:v>
                </c:pt>
                <c:pt idx="9">
                  <c:v>2.3661603E-4</c:v>
                </c:pt>
                <c:pt idx="10">
                  <c:v>2.6389362999999998E-3</c:v>
                </c:pt>
                <c:pt idx="11">
                  <c:v>6.4441363999999997</c:v>
                </c:pt>
                <c:pt idx="12">
                  <c:v>0.44291522</c:v>
                </c:pt>
                <c:pt idx="13">
                  <c:v>3.3553780999999998E-2</c:v>
                </c:pt>
                <c:pt idx="14">
                  <c:v>2.2682673000000002</c:v>
                </c:pt>
                <c:pt idx="15">
                  <c:v>8.4616095999999999E-7</c:v>
                </c:pt>
              </c:numCache>
            </c:numRef>
          </c:val>
          <c:extLst>
            <c:ext xmlns:c16="http://schemas.microsoft.com/office/drawing/2014/chart" uri="{C3380CC4-5D6E-409C-BE32-E72D297353CC}">
              <c16:uniqueId val="{0000001D-DB21-41B5-A328-3009CE2292BD}"/>
            </c:ext>
          </c:extLst>
        </c:ser>
        <c:ser>
          <c:idx val="11"/>
          <c:order val="11"/>
          <c:tx>
            <c:strRef>
              <c:f>contribution_cell!$O$27</c:f>
              <c:strCache>
                <c:ptCount val="1"/>
                <c:pt idx="0">
                  <c:v>Sheet rolling, aluminium {GLO}| market for | Cut-off, U</c:v>
                </c:pt>
              </c:strCache>
            </c:strRef>
          </c:tx>
          <c:spPr>
            <a:solidFill>
              <a:schemeClr val="accent6">
                <a:lumMod val="60000"/>
              </a:schemeClr>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contribution_cell!$O$28:$O$43</c:f>
              <c:numCache>
                <c:formatCode>0.00E+00</c:formatCode>
                <c:ptCount val="16"/>
                <c:pt idx="0">
                  <c:v>1.1933094999999999E-2</c:v>
                </c:pt>
                <c:pt idx="1">
                  <c:v>6.0719229999999996E-10</c:v>
                </c:pt>
                <c:pt idx="2">
                  <c:v>4.4995396999999998E-4</c:v>
                </c:pt>
                <c:pt idx="3">
                  <c:v>4.0362297999999999E-5</c:v>
                </c:pt>
                <c:pt idx="4">
                  <c:v>5.2386590000000001E-10</c:v>
                </c:pt>
                <c:pt idx="5">
                  <c:v>1.5065028999999999E-10</c:v>
                </c:pt>
                <c:pt idx="6">
                  <c:v>6.6200389000000003E-12</c:v>
                </c:pt>
                <c:pt idx="7">
                  <c:v>5.8916067E-5</c:v>
                </c:pt>
                <c:pt idx="8">
                  <c:v>5.0330722999999998E-7</c:v>
                </c:pt>
                <c:pt idx="9">
                  <c:v>9.8318022999999999E-6</c:v>
                </c:pt>
                <c:pt idx="10">
                  <c:v>1.0986494E-4</c:v>
                </c:pt>
                <c:pt idx="11">
                  <c:v>0.29140776000000002</c:v>
                </c:pt>
                <c:pt idx="12">
                  <c:v>2.3341759E-2</c:v>
                </c:pt>
                <c:pt idx="13">
                  <c:v>2.5246454E-3</c:v>
                </c:pt>
                <c:pt idx="14">
                  <c:v>0.14574303</c:v>
                </c:pt>
                <c:pt idx="15">
                  <c:v>3.2312077E-8</c:v>
                </c:pt>
              </c:numCache>
            </c:numRef>
          </c:val>
          <c:extLst>
            <c:ext xmlns:c16="http://schemas.microsoft.com/office/drawing/2014/chart" uri="{C3380CC4-5D6E-409C-BE32-E72D297353CC}">
              <c16:uniqueId val="{0000001E-DB21-41B5-A328-3009CE2292BD}"/>
            </c:ext>
          </c:extLst>
        </c:ser>
        <c:ser>
          <c:idx val="12"/>
          <c:order val="12"/>
          <c:tx>
            <c:strRef>
              <c:f>contribution_cell!$P$27</c:f>
              <c:strCache>
                <c:ptCount val="1"/>
                <c:pt idx="0">
                  <c:v>Aluminium, wrought alloy {GLO}| market for | Cut-off, U</c:v>
                </c:pt>
              </c:strCache>
            </c:strRef>
          </c:tx>
          <c:spPr>
            <a:solidFill>
              <a:schemeClr val="accent1">
                <a:lumMod val="80000"/>
                <a:lumOff val="20000"/>
              </a:schemeClr>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contribution_cell!$P$28:$P$43</c:f>
              <c:numCache>
                <c:formatCode>0.00E+00</c:formatCode>
                <c:ptCount val="16"/>
                <c:pt idx="0">
                  <c:v>0.13624939999999999</c:v>
                </c:pt>
                <c:pt idx="1">
                  <c:v>5.3979233000000001E-9</c:v>
                </c:pt>
                <c:pt idx="2">
                  <c:v>1.9704321999999999E-3</c:v>
                </c:pt>
                <c:pt idx="3">
                  <c:v>4.3984839999999998E-4</c:v>
                </c:pt>
                <c:pt idx="4">
                  <c:v>1.0406158E-8</c:v>
                </c:pt>
                <c:pt idx="5">
                  <c:v>3.5796549000000001E-9</c:v>
                </c:pt>
                <c:pt idx="6">
                  <c:v>1.9219532000000001E-10</c:v>
                </c:pt>
                <c:pt idx="7">
                  <c:v>9.0318720000000003E-4</c:v>
                </c:pt>
                <c:pt idx="8">
                  <c:v>4.6654918000000004E-6</c:v>
                </c:pt>
                <c:pt idx="9">
                  <c:v>1.3443677E-4</c:v>
                </c:pt>
                <c:pt idx="10">
                  <c:v>1.4993493E-3</c:v>
                </c:pt>
                <c:pt idx="11">
                  <c:v>3.6613280000000001</c:v>
                </c:pt>
                <c:pt idx="12">
                  <c:v>0.2516486</c:v>
                </c:pt>
                <c:pt idx="13">
                  <c:v>1.9064059000000001E-2</c:v>
                </c:pt>
                <c:pt idx="14">
                  <c:v>1.2887484</c:v>
                </c:pt>
                <c:pt idx="15">
                  <c:v>4.8075841000000003E-7</c:v>
                </c:pt>
              </c:numCache>
            </c:numRef>
          </c:val>
          <c:extLst>
            <c:ext xmlns:c16="http://schemas.microsoft.com/office/drawing/2014/chart" uri="{C3380CC4-5D6E-409C-BE32-E72D297353CC}">
              <c16:uniqueId val="{0000001F-DB21-41B5-A328-3009CE2292BD}"/>
            </c:ext>
          </c:extLst>
        </c:ser>
        <c:ser>
          <c:idx val="13"/>
          <c:order val="13"/>
          <c:tx>
            <c:strRef>
              <c:f>contribution_cell!$Q$27</c:f>
              <c:strCache>
                <c:ptCount val="1"/>
                <c:pt idx="0">
                  <c:v>Sheet rolling, aluminium {GLO}| market for | Cut-off, U</c:v>
                </c:pt>
              </c:strCache>
            </c:strRef>
          </c:tx>
          <c:spPr>
            <a:solidFill>
              <a:schemeClr val="accent2">
                <a:lumMod val="80000"/>
                <a:lumOff val="20000"/>
              </a:schemeClr>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contribution_cell!$Q$28:$Q$43</c:f>
              <c:numCache>
                <c:formatCode>0.00E+00</c:formatCode>
                <c:ptCount val="16"/>
                <c:pt idx="0">
                  <c:v>6.7799580999999996E-3</c:v>
                </c:pt>
                <c:pt idx="1">
                  <c:v>3.4498496E-10</c:v>
                </c:pt>
                <c:pt idx="2">
                  <c:v>2.5564776000000001E-4</c:v>
                </c:pt>
                <c:pt idx="3">
                  <c:v>2.2932414999999999E-5</c:v>
                </c:pt>
                <c:pt idx="4">
                  <c:v>2.9764188000000002E-10</c:v>
                </c:pt>
                <c:pt idx="5">
                  <c:v>8.5594110000000006E-11</c:v>
                </c:pt>
                <c:pt idx="6">
                  <c:v>3.7612695000000003E-12</c:v>
                </c:pt>
                <c:pt idx="7">
                  <c:v>3.3474004000000003E-5</c:v>
                </c:pt>
                <c:pt idx="8">
                  <c:v>2.8596117999999999E-7</c:v>
                </c:pt>
                <c:pt idx="9">
                  <c:v>5.5860786000000001E-6</c:v>
                </c:pt>
                <c:pt idx="10">
                  <c:v>6.2421333999999998E-5</c:v>
                </c:pt>
                <c:pt idx="11">
                  <c:v>0.16556746999999999</c:v>
                </c:pt>
                <c:pt idx="12">
                  <c:v>1.3261953E-2</c:v>
                </c:pt>
                <c:pt idx="13">
                  <c:v>1.4344132999999999E-3</c:v>
                </c:pt>
                <c:pt idx="14">
                  <c:v>8.2805977000000003E-2</c:v>
                </c:pt>
                <c:pt idx="15">
                  <c:v>1.8358567E-8</c:v>
                </c:pt>
              </c:numCache>
            </c:numRef>
          </c:val>
          <c:extLst>
            <c:ext xmlns:c16="http://schemas.microsoft.com/office/drawing/2014/chart" uri="{C3380CC4-5D6E-409C-BE32-E72D297353CC}">
              <c16:uniqueId val="{00000020-DB21-41B5-A328-3009CE2292BD}"/>
            </c:ext>
          </c:extLst>
        </c:ser>
        <c:ser>
          <c:idx val="14"/>
          <c:order val="14"/>
          <c:tx>
            <c:strRef>
              <c:f>contribution_cell!$R$27</c:f>
              <c:strCache>
                <c:ptCount val="1"/>
                <c:pt idx="0">
                  <c:v>Copper {GLO}| market for | Cut-off, U</c:v>
                </c:pt>
              </c:strCache>
            </c:strRef>
          </c:tx>
          <c:spPr>
            <a:solidFill>
              <a:schemeClr val="accent3">
                <a:lumMod val="80000"/>
                <a:lumOff val="20000"/>
              </a:schemeClr>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contribution_cell!$R$28:$R$43</c:f>
              <c:numCache>
                <c:formatCode>0.00E+00</c:formatCode>
                <c:ptCount val="16"/>
                <c:pt idx="0">
                  <c:v>0.15866420000000001</c:v>
                </c:pt>
                <c:pt idx="1">
                  <c:v>9.2634054000000002E-9</c:v>
                </c:pt>
                <c:pt idx="2">
                  <c:v>4.8878615999999996E-3</c:v>
                </c:pt>
                <c:pt idx="3">
                  <c:v>3.3998638000000002E-3</c:v>
                </c:pt>
                <c:pt idx="4">
                  <c:v>3.9124841999999997E-8</c:v>
                </c:pt>
                <c:pt idx="5">
                  <c:v>2.0940991000000001E-7</c:v>
                </c:pt>
                <c:pt idx="6">
                  <c:v>2.4467614E-9</c:v>
                </c:pt>
                <c:pt idx="7">
                  <c:v>1.8256425E-2</c:v>
                </c:pt>
                <c:pt idx="8">
                  <c:v>1.4537537000000001E-4</c:v>
                </c:pt>
                <c:pt idx="9">
                  <c:v>8.4090222000000002E-4</c:v>
                </c:pt>
                <c:pt idx="10">
                  <c:v>1.2759347000000001E-2</c:v>
                </c:pt>
                <c:pt idx="11">
                  <c:v>175.95938000000001</c:v>
                </c:pt>
                <c:pt idx="12">
                  <c:v>2.4182459999999999</c:v>
                </c:pt>
                <c:pt idx="13">
                  <c:v>0.13165205999999999</c:v>
                </c:pt>
                <c:pt idx="14">
                  <c:v>1.6686109</c:v>
                </c:pt>
                <c:pt idx="15">
                  <c:v>1.0413638000000001E-4</c:v>
                </c:pt>
              </c:numCache>
            </c:numRef>
          </c:val>
          <c:extLst>
            <c:ext xmlns:c16="http://schemas.microsoft.com/office/drawing/2014/chart" uri="{C3380CC4-5D6E-409C-BE32-E72D297353CC}">
              <c16:uniqueId val="{00000021-DB21-41B5-A328-3009CE2292BD}"/>
            </c:ext>
          </c:extLst>
        </c:ser>
        <c:ser>
          <c:idx val="15"/>
          <c:order val="15"/>
          <c:tx>
            <c:strRef>
              <c:f>contribution_cell!$S$27</c:f>
              <c:strCache>
                <c:ptCount val="1"/>
                <c:pt idx="0">
                  <c:v>Sheet rolling, copper {GLO}| market for | Cut-off, U</c:v>
                </c:pt>
              </c:strCache>
            </c:strRef>
          </c:tx>
          <c:spPr>
            <a:solidFill>
              <a:schemeClr val="accent4">
                <a:lumMod val="80000"/>
                <a:lumOff val="20000"/>
              </a:schemeClr>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contribution_cell!$S$28:$S$43</c:f>
              <c:numCache>
                <c:formatCode>0.00E+00</c:formatCode>
                <c:ptCount val="16"/>
                <c:pt idx="0">
                  <c:v>1.5638356999999999E-2</c:v>
                </c:pt>
                <c:pt idx="1">
                  <c:v>9.384953300000001E-10</c:v>
                </c:pt>
                <c:pt idx="2">
                  <c:v>6.6490215000000004E-4</c:v>
                </c:pt>
                <c:pt idx="3">
                  <c:v>1.7363979E-4</c:v>
                </c:pt>
                <c:pt idx="4">
                  <c:v>2.0291417E-9</c:v>
                </c:pt>
                <c:pt idx="5">
                  <c:v>8.3893872999999993E-9</c:v>
                </c:pt>
                <c:pt idx="6">
                  <c:v>1.0223747E-10</c:v>
                </c:pt>
                <c:pt idx="7">
                  <c:v>7.7121385000000005E-4</c:v>
                </c:pt>
                <c:pt idx="8">
                  <c:v>6.1890851000000003E-6</c:v>
                </c:pt>
                <c:pt idx="9">
                  <c:v>4.0525590000000003E-5</c:v>
                </c:pt>
                <c:pt idx="10">
                  <c:v>5.8441145E-4</c:v>
                </c:pt>
                <c:pt idx="11">
                  <c:v>7.4181983999999996</c:v>
                </c:pt>
                <c:pt idx="12">
                  <c:v>0.13684640000000001</c:v>
                </c:pt>
                <c:pt idx="13">
                  <c:v>1.5921233E-2</c:v>
                </c:pt>
                <c:pt idx="14">
                  <c:v>0.18483778000000001</c:v>
                </c:pt>
                <c:pt idx="15">
                  <c:v>4.1559589000000001E-6</c:v>
                </c:pt>
              </c:numCache>
            </c:numRef>
          </c:val>
          <c:extLst>
            <c:ext xmlns:c16="http://schemas.microsoft.com/office/drawing/2014/chart" uri="{C3380CC4-5D6E-409C-BE32-E72D297353CC}">
              <c16:uniqueId val="{00000022-DB21-41B5-A328-3009CE2292BD}"/>
            </c:ext>
          </c:extLst>
        </c:ser>
        <c:ser>
          <c:idx val="16"/>
          <c:order val="16"/>
          <c:tx>
            <c:strRef>
              <c:f>contribution_cell!$T$27</c:f>
              <c:strCache>
                <c:ptCount val="1"/>
                <c:pt idx="0">
                  <c:v>Chemical factory, organics {GLO}| market for | Cut-off, U</c:v>
                </c:pt>
              </c:strCache>
            </c:strRef>
          </c:tx>
          <c:spPr>
            <a:solidFill>
              <a:schemeClr val="accent5">
                <a:lumMod val="80000"/>
                <a:lumOff val="20000"/>
              </a:schemeClr>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contribution_cell!$T$28:$T$43</c:f>
              <c:numCache>
                <c:formatCode>0.00E+00</c:formatCode>
                <c:ptCount val="16"/>
                <c:pt idx="0">
                  <c:v>5.9828266999999997E-2</c:v>
                </c:pt>
                <c:pt idx="1">
                  <c:v>3.8261005999999996E-9</c:v>
                </c:pt>
                <c:pt idx="2">
                  <c:v>2.9145620999999999E-3</c:v>
                </c:pt>
                <c:pt idx="3">
                  <c:v>2.6936385999999998E-4</c:v>
                </c:pt>
                <c:pt idx="4">
                  <c:v>4.5565934000000001E-9</c:v>
                </c:pt>
                <c:pt idx="5">
                  <c:v>6.1115889E-9</c:v>
                </c:pt>
                <c:pt idx="6">
                  <c:v>2.2773698E-10</c:v>
                </c:pt>
                <c:pt idx="7">
                  <c:v>7.2446816000000004E-4</c:v>
                </c:pt>
                <c:pt idx="8">
                  <c:v>6.9164806999999996E-6</c:v>
                </c:pt>
                <c:pt idx="9">
                  <c:v>7.6075858000000006E-5</c:v>
                </c:pt>
                <c:pt idx="10">
                  <c:v>9.6792598E-4</c:v>
                </c:pt>
                <c:pt idx="11">
                  <c:v>5.6277007000000001</c:v>
                </c:pt>
                <c:pt idx="12">
                  <c:v>0.99396057999999998</c:v>
                </c:pt>
                <c:pt idx="13">
                  <c:v>1.5737735999999999E-2</c:v>
                </c:pt>
                <c:pt idx="14">
                  <c:v>0.71770858999999998</c:v>
                </c:pt>
                <c:pt idx="15">
                  <c:v>1.6292863E-5</c:v>
                </c:pt>
              </c:numCache>
            </c:numRef>
          </c:val>
          <c:extLst>
            <c:ext xmlns:c16="http://schemas.microsoft.com/office/drawing/2014/chart" uri="{C3380CC4-5D6E-409C-BE32-E72D297353CC}">
              <c16:uniqueId val="{00000023-DB21-41B5-A328-3009CE2292BD}"/>
            </c:ext>
          </c:extLst>
        </c:ser>
        <c:ser>
          <c:idx val="17"/>
          <c:order val="17"/>
          <c:tx>
            <c:strRef>
              <c:f>contribution_cell!$U$27</c:f>
              <c:strCache>
                <c:ptCount val="1"/>
                <c:pt idx="0">
                  <c:v>Electricity, medium voltage {CN}| market group for | Cut-off, U</c:v>
                </c:pt>
              </c:strCache>
            </c:strRef>
          </c:tx>
          <c:spPr>
            <a:solidFill>
              <a:schemeClr val="accent6">
                <a:lumMod val="80000"/>
                <a:lumOff val="20000"/>
              </a:schemeClr>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contribution_cell!$U$28:$U$43</c:f>
              <c:numCache>
                <c:formatCode>0.00E+00</c:formatCode>
                <c:ptCount val="16"/>
                <c:pt idx="0">
                  <c:v>1.0179596</c:v>
                </c:pt>
                <c:pt idx="1">
                  <c:v>6.4204661000000003E-9</c:v>
                </c:pt>
                <c:pt idx="2">
                  <c:v>5.7652121000000001E-3</c:v>
                </c:pt>
                <c:pt idx="3">
                  <c:v>3.1151767000000001E-3</c:v>
                </c:pt>
                <c:pt idx="4">
                  <c:v>7.2096422999999998E-8</c:v>
                </c:pt>
                <c:pt idx="5">
                  <c:v>1.0080007000000001E-8</c:v>
                </c:pt>
                <c:pt idx="6">
                  <c:v>2.0549485E-10</c:v>
                </c:pt>
                <c:pt idx="7">
                  <c:v>5.2811958999999997E-3</c:v>
                </c:pt>
                <c:pt idx="8">
                  <c:v>2.1405086000000001E-5</c:v>
                </c:pt>
                <c:pt idx="9">
                  <c:v>1.0930919999999999E-3</c:v>
                </c:pt>
                <c:pt idx="10">
                  <c:v>1.2026215E-2</c:v>
                </c:pt>
                <c:pt idx="11">
                  <c:v>25.724084999999999</c:v>
                </c:pt>
                <c:pt idx="12">
                  <c:v>1.9331403</c:v>
                </c:pt>
                <c:pt idx="13">
                  <c:v>0.10413335</c:v>
                </c:pt>
                <c:pt idx="14">
                  <c:v>8.9734046000000003</c:v>
                </c:pt>
                <c:pt idx="15">
                  <c:v>1.3240671E-6</c:v>
                </c:pt>
              </c:numCache>
            </c:numRef>
          </c:val>
          <c:extLst>
            <c:ext xmlns:c16="http://schemas.microsoft.com/office/drawing/2014/chart" uri="{C3380CC4-5D6E-409C-BE32-E72D297353CC}">
              <c16:uniqueId val="{00000024-DB21-41B5-A328-3009CE2292BD}"/>
            </c:ext>
          </c:extLst>
        </c:ser>
        <c:ser>
          <c:idx val="18"/>
          <c:order val="18"/>
          <c:tx>
            <c:strRef>
              <c:f>contribution_cell!$V$27</c:f>
              <c:strCache>
                <c:ptCount val="1"/>
                <c:pt idx="0">
                  <c:v>Heat, district or industrial, natural gas {GLO}| market group for | Cut-off, U</c:v>
                </c:pt>
              </c:strCache>
            </c:strRef>
          </c:tx>
          <c:spPr>
            <a:solidFill>
              <a:schemeClr val="accent1">
                <a:lumMod val="80000"/>
              </a:schemeClr>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contribution_cell!$V$28:$V$43</c:f>
              <c:numCache>
                <c:formatCode>0.00E+00</c:formatCode>
                <c:ptCount val="16"/>
                <c:pt idx="0">
                  <c:v>0.55624684999999996</c:v>
                </c:pt>
                <c:pt idx="1">
                  <c:v>6.7829503000000003E-8</c:v>
                </c:pt>
                <c:pt idx="2">
                  <c:v>1.8168837000000001E-3</c:v>
                </c:pt>
                <c:pt idx="3">
                  <c:v>7.3985515999999999E-4</c:v>
                </c:pt>
                <c:pt idx="4">
                  <c:v>2.2378536E-9</c:v>
                </c:pt>
                <c:pt idx="5">
                  <c:v>1.1659954999999999E-9</c:v>
                </c:pt>
                <c:pt idx="6">
                  <c:v>4.7344574999999999E-11</c:v>
                </c:pt>
                <c:pt idx="7">
                  <c:v>7.6339376999999997E-4</c:v>
                </c:pt>
                <c:pt idx="8">
                  <c:v>8.1710967000000001E-7</c:v>
                </c:pt>
                <c:pt idx="9">
                  <c:v>1.8548771E-4</c:v>
                </c:pt>
                <c:pt idx="10">
                  <c:v>2.0289317000000001E-3</c:v>
                </c:pt>
                <c:pt idx="11">
                  <c:v>1.6971031000000001</c:v>
                </c:pt>
                <c:pt idx="12">
                  <c:v>0.28106092999999999</c:v>
                </c:pt>
                <c:pt idx="13">
                  <c:v>1.6635813999999999E-2</c:v>
                </c:pt>
                <c:pt idx="14">
                  <c:v>8.6701101000000005</c:v>
                </c:pt>
                <c:pt idx="15">
                  <c:v>2.6337248E-7</c:v>
                </c:pt>
              </c:numCache>
            </c:numRef>
          </c:val>
          <c:extLst>
            <c:ext xmlns:c16="http://schemas.microsoft.com/office/drawing/2014/chart" uri="{C3380CC4-5D6E-409C-BE32-E72D297353CC}">
              <c16:uniqueId val="{00000025-DB21-41B5-A328-3009CE2292BD}"/>
            </c:ext>
          </c:extLst>
        </c:ser>
        <c:ser>
          <c:idx val="19"/>
          <c:order val="19"/>
          <c:tx>
            <c:strRef>
              <c:f>contribution_cell!$W$27</c:f>
              <c:strCache>
                <c:ptCount val="1"/>
                <c:pt idx="0">
                  <c:v>Electricity, medium voltage {CN}| market group for | Cut-off, U</c:v>
                </c:pt>
              </c:strCache>
            </c:strRef>
          </c:tx>
          <c:spPr>
            <a:solidFill>
              <a:schemeClr val="accent2">
                <a:lumMod val="80000"/>
              </a:schemeClr>
            </a:solidFill>
            <a:ln>
              <a:noFill/>
            </a:ln>
            <a:effectLst/>
          </c:spPr>
          <c:invertIfNegative val="0"/>
          <c:cat>
            <c:strRef>
              <c:f>contribution_cell!$A$28:$A$43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contribution_cell!$W$28:$W$43</c:f>
              <c:numCache>
                <c:formatCode>0.00E+00</c:formatCode>
                <c:ptCount val="16"/>
                <c:pt idx="0">
                  <c:v>0.32081152000000002</c:v>
                </c:pt>
                <c:pt idx="1">
                  <c:v>2.0234195999999999E-9</c:v>
                </c:pt>
                <c:pt idx="2">
                  <c:v>1.8169153E-3</c:v>
                </c:pt>
                <c:pt idx="3">
                  <c:v>9.8175266999999994E-4</c:v>
                </c:pt>
                <c:pt idx="4">
                  <c:v>2.2721297000000001E-8</c:v>
                </c:pt>
                <c:pt idx="5">
                  <c:v>3.1767295999999999E-9</c:v>
                </c:pt>
                <c:pt idx="6">
                  <c:v>6.4762014000000004E-11</c:v>
                </c:pt>
                <c:pt idx="7">
                  <c:v>1.6643769000000001E-3</c:v>
                </c:pt>
                <c:pt idx="8">
                  <c:v>6.7458452000000003E-6</c:v>
                </c:pt>
                <c:pt idx="9">
                  <c:v>3.4448957999999997E-4</c:v>
                </c:pt>
                <c:pt idx="10">
                  <c:v>3.7900798999999999E-3</c:v>
                </c:pt>
                <c:pt idx="11">
                  <c:v>8.1069843000000006</c:v>
                </c:pt>
                <c:pt idx="12">
                  <c:v>0.60923207999999995</c:v>
                </c:pt>
                <c:pt idx="13">
                  <c:v>3.2817783000000003E-2</c:v>
                </c:pt>
                <c:pt idx="14">
                  <c:v>2.827982</c:v>
                </c:pt>
                <c:pt idx="15">
                  <c:v>4.1728176000000002E-7</c:v>
                </c:pt>
              </c:numCache>
            </c:numRef>
          </c:val>
          <c:extLst>
            <c:ext xmlns:c16="http://schemas.microsoft.com/office/drawing/2014/chart" uri="{C3380CC4-5D6E-409C-BE32-E72D297353CC}">
              <c16:uniqueId val="{00000026-DB21-41B5-A328-3009CE2292BD}"/>
            </c:ext>
          </c:extLst>
        </c:ser>
        <c:dLbls>
          <c:showLegendKey val="0"/>
          <c:showVal val="0"/>
          <c:showCatName val="0"/>
          <c:showSerName val="0"/>
          <c:showPercent val="0"/>
          <c:showBubbleSize val="0"/>
        </c:dLbls>
        <c:gapWidth val="150"/>
        <c:overlap val="100"/>
        <c:axId val="513835240"/>
        <c:axId val="513832616"/>
      </c:barChart>
      <c:catAx>
        <c:axId val="513835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832616"/>
        <c:crosses val="autoZero"/>
        <c:auto val="1"/>
        <c:lblAlgn val="ctr"/>
        <c:lblOffset val="100"/>
        <c:noMultiLvlLbl val="0"/>
      </c:catAx>
      <c:valAx>
        <c:axId val="5138326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835240"/>
        <c:crosses val="autoZero"/>
        <c:crossBetween val="between"/>
      </c:valAx>
      <c:spPr>
        <a:noFill/>
        <a:ln w="25400">
          <a:noFill/>
        </a:ln>
        <a:effectLst/>
      </c:spPr>
    </c:plotArea>
    <c:legend>
      <c:legendPos val="b"/>
      <c:layout>
        <c:manualLayout>
          <c:xMode val="edge"/>
          <c:yMode val="edge"/>
          <c:x val="3.5490297842209001E-2"/>
          <c:y val="0.8083869116955289"/>
          <c:w val="0.76098332642301747"/>
          <c:h val="0.18898825147838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271635016376729E-2"/>
          <c:y val="3.7573609105166259E-2"/>
          <c:w val="0.92349759222475403"/>
          <c:h val="0.58552843722281112"/>
        </c:manualLayout>
      </c:layout>
      <c:barChart>
        <c:barDir val="col"/>
        <c:grouping val="percentStacked"/>
        <c:varyColors val="0"/>
        <c:ser>
          <c:idx val="0"/>
          <c:order val="0"/>
          <c:tx>
            <c:strRef>
              <c:f>contribution_cell!$D$47</c:f>
              <c:strCache>
                <c:ptCount val="1"/>
                <c:pt idx="0">
                  <c:v>NCA cathode</c:v>
                </c:pt>
              </c:strCache>
            </c:strRef>
          </c:tx>
          <c:spPr>
            <a:solidFill>
              <a:schemeClr val="accent1"/>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contribution_cell!$D$48:$D$63</c:f>
              <c:numCache>
                <c:formatCode>0.00E+00</c:formatCode>
                <c:ptCount val="16"/>
                <c:pt idx="0">
                  <c:v>10.328252000000001</c:v>
                </c:pt>
                <c:pt idx="1">
                  <c:v>9.2288102999999999E-7</c:v>
                </c:pt>
                <c:pt idx="2">
                  <c:v>0.27771623000000001</c:v>
                </c:pt>
                <c:pt idx="3">
                  <c:v>8.3042244000000001E-2</c:v>
                </c:pt>
                <c:pt idx="4">
                  <c:v>2.8538615E-6</c:v>
                </c:pt>
                <c:pt idx="5">
                  <c:v>2.1239610000000001E-7</c:v>
                </c:pt>
                <c:pt idx="6">
                  <c:v>1.1577770999999999E-8</c:v>
                </c:pt>
                <c:pt idx="7">
                  <c:v>0.70942786000000002</c:v>
                </c:pt>
                <c:pt idx="8">
                  <c:v>4.8000484000000003E-4</c:v>
                </c:pt>
                <c:pt idx="9">
                  <c:v>1.5143154000000001E-2</c:v>
                </c:pt>
                <c:pt idx="10">
                  <c:v>0.26763975000000001</c:v>
                </c:pt>
                <c:pt idx="11">
                  <c:v>1200.7284</c:v>
                </c:pt>
                <c:pt idx="12">
                  <c:v>43.341453999999999</c:v>
                </c:pt>
                <c:pt idx="13">
                  <c:v>3.3218649</c:v>
                </c:pt>
                <c:pt idx="14">
                  <c:v>116.02087</c:v>
                </c:pt>
                <c:pt idx="15">
                  <c:v>6.0034759000000002E-4</c:v>
                </c:pt>
              </c:numCache>
            </c:numRef>
          </c:val>
          <c:extLst>
            <c:ext xmlns:c16="http://schemas.microsoft.com/office/drawing/2014/chart" uri="{C3380CC4-5D6E-409C-BE32-E72D297353CC}">
              <c16:uniqueId val="{00000000-705B-4CFD-94D4-D39BE96B293B}"/>
            </c:ext>
          </c:extLst>
        </c:ser>
        <c:ser>
          <c:idx val="1"/>
          <c:order val="1"/>
          <c:tx>
            <c:strRef>
              <c:f>contribution_cell!$E$47</c:f>
              <c:strCache>
                <c:ptCount val="1"/>
                <c:pt idx="0">
                  <c:v>Anode, synthetic graphite</c:v>
                </c:pt>
              </c:strCache>
            </c:strRef>
          </c:tx>
          <c:spPr>
            <a:solidFill>
              <a:schemeClr val="accent2"/>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contribution_cell!$E$48:$E$63</c:f>
              <c:numCache>
                <c:formatCode>0.00E+00</c:formatCode>
                <c:ptCount val="16"/>
                <c:pt idx="0">
                  <c:v>1.4648732</c:v>
                </c:pt>
                <c:pt idx="1">
                  <c:v>1.5671578999999999E-7</c:v>
                </c:pt>
                <c:pt idx="2">
                  <c:v>4.4543095999999997E-2</c:v>
                </c:pt>
                <c:pt idx="3">
                  <c:v>7.4307905000000002E-3</c:v>
                </c:pt>
                <c:pt idx="4">
                  <c:v>3.0203375000000001E-7</c:v>
                </c:pt>
                <c:pt idx="5">
                  <c:v>1.6002003000000001E-8</c:v>
                </c:pt>
                <c:pt idx="6">
                  <c:v>4.6985493999999997E-10</c:v>
                </c:pt>
                <c:pt idx="7">
                  <c:v>2.6602409E-2</c:v>
                </c:pt>
                <c:pt idx="8">
                  <c:v>2.9352321000000001E-5</c:v>
                </c:pt>
                <c:pt idx="9">
                  <c:v>2.1833461000000001E-3</c:v>
                </c:pt>
                <c:pt idx="10">
                  <c:v>2.4000127999999999E-2</c:v>
                </c:pt>
                <c:pt idx="11">
                  <c:v>35.125940999999997</c:v>
                </c:pt>
                <c:pt idx="12">
                  <c:v>4.4990644</c:v>
                </c:pt>
                <c:pt idx="13">
                  <c:v>0.15176640999999999</c:v>
                </c:pt>
                <c:pt idx="14">
                  <c:v>20.498864999999999</c:v>
                </c:pt>
                <c:pt idx="15">
                  <c:v>9.5167232999999993E-6</c:v>
                </c:pt>
              </c:numCache>
            </c:numRef>
          </c:val>
          <c:extLst>
            <c:ext xmlns:c16="http://schemas.microsoft.com/office/drawing/2014/chart" uri="{C3380CC4-5D6E-409C-BE32-E72D297353CC}">
              <c16:uniqueId val="{00000014-705B-4CFD-94D4-D39BE96B293B}"/>
            </c:ext>
          </c:extLst>
        </c:ser>
        <c:ser>
          <c:idx val="2"/>
          <c:order val="2"/>
          <c:tx>
            <c:strRef>
              <c:f>contribution_cell!$F$47</c:f>
              <c:strCache>
                <c:ptCount val="1"/>
                <c:pt idx="0">
                  <c:v>Al current collector</c:v>
                </c:pt>
              </c:strCache>
            </c:strRef>
          </c:tx>
          <c:spPr>
            <a:solidFill>
              <a:schemeClr val="accent3"/>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contribution_cell!$F$48:$F$63</c:f>
              <c:numCache>
                <c:formatCode>0.00E+00</c:formatCode>
                <c:ptCount val="16"/>
                <c:pt idx="0">
                  <c:v>0.43501108999999999</c:v>
                </c:pt>
                <c:pt idx="1">
                  <c:v>2.3923269999999999E-8</c:v>
                </c:pt>
                <c:pt idx="2">
                  <c:v>6.8861998000000002E-3</c:v>
                </c:pt>
                <c:pt idx="3">
                  <c:v>1.3368599E-3</c:v>
                </c:pt>
                <c:pt idx="4">
                  <c:v>3.0560404999999997E-8</c:v>
                </c:pt>
                <c:pt idx="5">
                  <c:v>1.0586273000000001E-8</c:v>
                </c:pt>
                <c:pt idx="6">
                  <c:v>5.4797713999999998E-10</c:v>
                </c:pt>
                <c:pt idx="7">
                  <c:v>2.7167440000000001E-3</c:v>
                </c:pt>
                <c:pt idx="8">
                  <c:v>1.4692785999999999E-5</c:v>
                </c:pt>
                <c:pt idx="9">
                  <c:v>4.0388993999999998E-4</c:v>
                </c:pt>
                <c:pt idx="10">
                  <c:v>4.5035843999999998E-3</c:v>
                </c:pt>
                <c:pt idx="11">
                  <c:v>11.190839</c:v>
                </c:pt>
                <c:pt idx="12">
                  <c:v>0.81518415</c:v>
                </c:pt>
                <c:pt idx="13">
                  <c:v>7.4990254000000006E-2</c:v>
                </c:pt>
                <c:pt idx="14">
                  <c:v>3.9689779999999999</c:v>
                </c:pt>
                <c:pt idx="15">
                  <c:v>3.4333903E-6</c:v>
                </c:pt>
              </c:numCache>
            </c:numRef>
          </c:val>
          <c:extLst>
            <c:ext xmlns:c16="http://schemas.microsoft.com/office/drawing/2014/chart" uri="{C3380CC4-5D6E-409C-BE32-E72D297353CC}">
              <c16:uniqueId val="{00000015-705B-4CFD-94D4-D39BE96B293B}"/>
            </c:ext>
          </c:extLst>
        </c:ser>
        <c:ser>
          <c:idx val="3"/>
          <c:order val="3"/>
          <c:tx>
            <c:strRef>
              <c:f>contribution_cell!$G$47</c:f>
              <c:strCache>
                <c:ptCount val="1"/>
                <c:pt idx="0">
                  <c:v>Cu current collector</c:v>
                </c:pt>
              </c:strCache>
            </c:strRef>
          </c:tx>
          <c:spPr>
            <a:solidFill>
              <a:schemeClr val="accent4"/>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contribution_cell!$G$48:$G$63</c:f>
              <c:numCache>
                <c:formatCode>0.00E+00</c:formatCode>
                <c:ptCount val="16"/>
                <c:pt idx="0">
                  <c:v>0.90902671000000002</c:v>
                </c:pt>
                <c:pt idx="1">
                  <c:v>8.0226561999999994E-8</c:v>
                </c:pt>
                <c:pt idx="2">
                  <c:v>2.6250699999999998E-2</c:v>
                </c:pt>
                <c:pt idx="3">
                  <c:v>1.4639865E-2</c:v>
                </c:pt>
                <c:pt idx="4">
                  <c:v>1.7108775E-7</c:v>
                </c:pt>
                <c:pt idx="5">
                  <c:v>8.7180954999999998E-7</c:v>
                </c:pt>
                <c:pt idx="6">
                  <c:v>1.0240938999999999E-8</c:v>
                </c:pt>
                <c:pt idx="7">
                  <c:v>7.6700175999999995E-2</c:v>
                </c:pt>
                <c:pt idx="8">
                  <c:v>6.1034820999999995E-4</c:v>
                </c:pt>
                <c:pt idx="9">
                  <c:v>3.6283965E-3</c:v>
                </c:pt>
                <c:pt idx="10">
                  <c:v>5.4600976000000002E-2</c:v>
                </c:pt>
                <c:pt idx="11">
                  <c:v>735.29178000000002</c:v>
                </c:pt>
                <c:pt idx="12">
                  <c:v>11.279111</c:v>
                </c:pt>
                <c:pt idx="13">
                  <c:v>0.67718471000000002</c:v>
                </c:pt>
                <c:pt idx="14">
                  <c:v>8.5198856999999997</c:v>
                </c:pt>
                <c:pt idx="15">
                  <c:v>4.5002014999999997E-4</c:v>
                </c:pt>
              </c:numCache>
            </c:numRef>
          </c:val>
          <c:extLst>
            <c:ext xmlns:c16="http://schemas.microsoft.com/office/drawing/2014/chart" uri="{C3380CC4-5D6E-409C-BE32-E72D297353CC}">
              <c16:uniqueId val="{00000016-705B-4CFD-94D4-D39BE96B293B}"/>
            </c:ext>
          </c:extLst>
        </c:ser>
        <c:ser>
          <c:idx val="4"/>
          <c:order val="4"/>
          <c:tx>
            <c:strRef>
              <c:f>contribution_cell!$H$47</c:f>
              <c:strCache>
                <c:ptCount val="1"/>
                <c:pt idx="0">
                  <c:v>Separator, single layer, coated, PE &amp; extrusion</c:v>
                </c:pt>
              </c:strCache>
            </c:strRef>
          </c:tx>
          <c:spPr>
            <a:solidFill>
              <a:schemeClr val="accent5"/>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contribution_cell!$H$48:$H$63</c:f>
              <c:numCache>
                <c:formatCode>0.00E+00</c:formatCode>
                <c:ptCount val="16"/>
                <c:pt idx="0">
                  <c:v>9.9784557999999995E-2</c:v>
                </c:pt>
                <c:pt idx="1">
                  <c:v>5.5126700000000002E-9</c:v>
                </c:pt>
                <c:pt idx="2">
                  <c:v>3.0009239999999999E-3</c:v>
                </c:pt>
                <c:pt idx="3">
                  <c:v>3.0899904000000002E-4</c:v>
                </c:pt>
                <c:pt idx="4">
                  <c:v>3.5476017000000002E-9</c:v>
                </c:pt>
                <c:pt idx="5">
                  <c:v>1.1566834E-9</c:v>
                </c:pt>
                <c:pt idx="6">
                  <c:v>3.3187374E-11</c:v>
                </c:pt>
                <c:pt idx="7">
                  <c:v>4.4722505000000001E-4</c:v>
                </c:pt>
                <c:pt idx="8">
                  <c:v>2.9313918999999998E-6</c:v>
                </c:pt>
                <c:pt idx="9">
                  <c:v>6.4626343999999995E-5</c:v>
                </c:pt>
                <c:pt idx="10">
                  <c:v>7.1498085999999997E-4</c:v>
                </c:pt>
                <c:pt idx="11">
                  <c:v>1.3076177</c:v>
                </c:pt>
                <c:pt idx="12">
                  <c:v>0.25448504</c:v>
                </c:pt>
                <c:pt idx="13">
                  <c:v>4.3047212000000001E-2</c:v>
                </c:pt>
                <c:pt idx="14">
                  <c:v>1.5691615000000001</c:v>
                </c:pt>
                <c:pt idx="15">
                  <c:v>3.1170467E-6</c:v>
                </c:pt>
              </c:numCache>
            </c:numRef>
          </c:val>
          <c:extLst>
            <c:ext xmlns:c16="http://schemas.microsoft.com/office/drawing/2014/chart" uri="{C3380CC4-5D6E-409C-BE32-E72D297353CC}">
              <c16:uniqueId val="{00000017-705B-4CFD-94D4-D39BE96B293B}"/>
            </c:ext>
          </c:extLst>
        </c:ser>
        <c:ser>
          <c:idx val="5"/>
          <c:order val="5"/>
          <c:tx>
            <c:strRef>
              <c:f>contribution_cell!$I$47</c:f>
              <c:strCache>
                <c:ptCount val="1"/>
                <c:pt idx="0">
                  <c:v>Electrolyte</c:v>
                </c:pt>
              </c:strCache>
            </c:strRef>
          </c:tx>
          <c:spPr>
            <a:solidFill>
              <a:schemeClr val="accent6"/>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contribution_cell!$I$48:$I$63</c:f>
              <c:numCache>
                <c:formatCode>0.00E+00</c:formatCode>
                <c:ptCount val="16"/>
                <c:pt idx="0">
                  <c:v>0.69096323999999998</c:v>
                </c:pt>
                <c:pt idx="1">
                  <c:v>6.5287809999999994E-8</c:v>
                </c:pt>
                <c:pt idx="2">
                  <c:v>3.1025990999999999E-2</c:v>
                </c:pt>
                <c:pt idx="3">
                  <c:v>2.3510979999999998E-3</c:v>
                </c:pt>
                <c:pt idx="4">
                  <c:v>3.5837440999999997E-8</c:v>
                </c:pt>
                <c:pt idx="5">
                  <c:v>1.3209185E-7</c:v>
                </c:pt>
                <c:pt idx="6">
                  <c:v>3.7576998999999999E-10</c:v>
                </c:pt>
                <c:pt idx="7">
                  <c:v>5.2855454000000001E-3</c:v>
                </c:pt>
                <c:pt idx="8">
                  <c:v>3.1294395999999999E-5</c:v>
                </c:pt>
                <c:pt idx="9">
                  <c:v>7.0609929999999996E-4</c:v>
                </c:pt>
                <c:pt idx="10">
                  <c:v>6.6844542000000003E-3</c:v>
                </c:pt>
                <c:pt idx="11">
                  <c:v>14.314354</c:v>
                </c:pt>
                <c:pt idx="12">
                  <c:v>2.8559114000000001</c:v>
                </c:pt>
                <c:pt idx="13">
                  <c:v>0.39700350000000001</c:v>
                </c:pt>
                <c:pt idx="14">
                  <c:v>11.233983</c:v>
                </c:pt>
                <c:pt idx="15">
                  <c:v>2.4015222E-5</c:v>
                </c:pt>
              </c:numCache>
            </c:numRef>
          </c:val>
          <c:extLst>
            <c:ext xmlns:c16="http://schemas.microsoft.com/office/drawing/2014/chart" uri="{C3380CC4-5D6E-409C-BE32-E72D297353CC}">
              <c16:uniqueId val="{00000018-705B-4CFD-94D4-D39BE96B293B}"/>
            </c:ext>
          </c:extLst>
        </c:ser>
        <c:ser>
          <c:idx val="6"/>
          <c:order val="6"/>
          <c:tx>
            <c:strRef>
              <c:f>contribution_cell!$J$47</c:f>
              <c:strCache>
                <c:ptCount val="1"/>
                <c:pt idx="0">
                  <c:v>Polyethylene terephthalate, granulate, amorphous {GLO}| market for | Cut-off, U</c:v>
                </c:pt>
              </c:strCache>
            </c:strRef>
          </c:tx>
          <c:spPr>
            <a:solidFill>
              <a:schemeClr val="accent1">
                <a:lumMod val="60000"/>
              </a:schemeClr>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contribution_cell!$J$48:$J$63</c:f>
              <c:numCache>
                <c:formatCode>0.00E+00</c:formatCode>
                <c:ptCount val="16"/>
                <c:pt idx="0">
                  <c:v>9.5361681000000007E-3</c:v>
                </c:pt>
                <c:pt idx="1">
                  <c:v>5.1110741999999999E-10</c:v>
                </c:pt>
                <c:pt idx="2">
                  <c:v>2.2260062999999999E-4</c:v>
                </c:pt>
                <c:pt idx="3">
                  <c:v>2.9750542000000001E-5</c:v>
                </c:pt>
                <c:pt idx="4">
                  <c:v>3.7325490999999998E-10</c:v>
                </c:pt>
                <c:pt idx="5">
                  <c:v>9.8331613000000005E-11</c:v>
                </c:pt>
                <c:pt idx="6">
                  <c:v>4.5862784E-12</c:v>
                </c:pt>
                <c:pt idx="7">
                  <c:v>4.1970856999999997E-5</c:v>
                </c:pt>
                <c:pt idx="8">
                  <c:v>2.4360151999999999E-7</c:v>
                </c:pt>
                <c:pt idx="9">
                  <c:v>7.5815784999999999E-6</c:v>
                </c:pt>
                <c:pt idx="10">
                  <c:v>8.2194073999999995E-5</c:v>
                </c:pt>
                <c:pt idx="11">
                  <c:v>0.14210395000000001</c:v>
                </c:pt>
                <c:pt idx="12">
                  <c:v>2.3481040000000002E-2</c:v>
                </c:pt>
                <c:pt idx="13">
                  <c:v>4.2256335000000001E-3</c:v>
                </c:pt>
                <c:pt idx="14">
                  <c:v>0.21044842</c:v>
                </c:pt>
                <c:pt idx="15">
                  <c:v>1.6788191000000001E-7</c:v>
                </c:pt>
              </c:numCache>
            </c:numRef>
          </c:val>
          <c:extLst>
            <c:ext xmlns:c16="http://schemas.microsoft.com/office/drawing/2014/chart" uri="{C3380CC4-5D6E-409C-BE32-E72D297353CC}">
              <c16:uniqueId val="{00000019-705B-4CFD-94D4-D39BE96B293B}"/>
            </c:ext>
          </c:extLst>
        </c:ser>
        <c:ser>
          <c:idx val="7"/>
          <c:order val="7"/>
          <c:tx>
            <c:strRef>
              <c:f>contribution_cell!$K$47</c:f>
              <c:strCache>
                <c:ptCount val="1"/>
                <c:pt idx="0">
                  <c:v>Extrusion, plastic film {GLO}| market for | Cut-off, U</c:v>
                </c:pt>
              </c:strCache>
            </c:strRef>
          </c:tx>
          <c:spPr>
            <a:solidFill>
              <a:schemeClr val="accent2">
                <a:lumMod val="60000"/>
              </a:schemeClr>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contribution_cell!$K$48:$K$63</c:f>
              <c:numCache>
                <c:formatCode>0.00E+00</c:formatCode>
                <c:ptCount val="16"/>
                <c:pt idx="0">
                  <c:v>1.6873734E-3</c:v>
                </c:pt>
                <c:pt idx="1">
                  <c:v>8.6251803E-11</c:v>
                </c:pt>
                <c:pt idx="2">
                  <c:v>9.9440982999999999E-5</c:v>
                </c:pt>
                <c:pt idx="3">
                  <c:v>4.4684061999999999E-6</c:v>
                </c:pt>
                <c:pt idx="4">
                  <c:v>7.4029985999999994E-11</c:v>
                </c:pt>
                <c:pt idx="5">
                  <c:v>1.5739221000000001E-11</c:v>
                </c:pt>
                <c:pt idx="6">
                  <c:v>7.8566523000000004E-13</c:v>
                </c:pt>
                <c:pt idx="7">
                  <c:v>8.3999914999999993E-6</c:v>
                </c:pt>
                <c:pt idx="8">
                  <c:v>9.1707618999999997E-8</c:v>
                </c:pt>
                <c:pt idx="9">
                  <c:v>1.4208446E-6</c:v>
                </c:pt>
                <c:pt idx="10">
                  <c:v>1.6275969E-5</c:v>
                </c:pt>
                <c:pt idx="11">
                  <c:v>2.9879531000000001E-2</c:v>
                </c:pt>
                <c:pt idx="12">
                  <c:v>2.6301509000000001E-2</c:v>
                </c:pt>
                <c:pt idx="13">
                  <c:v>2.4233309999999999E-3</c:v>
                </c:pt>
                <c:pt idx="14">
                  <c:v>2.2639594999999998E-2</c:v>
                </c:pt>
                <c:pt idx="15">
                  <c:v>1.6667919000000001E-8</c:v>
                </c:pt>
              </c:numCache>
            </c:numRef>
          </c:val>
          <c:extLst>
            <c:ext xmlns:c16="http://schemas.microsoft.com/office/drawing/2014/chart" uri="{C3380CC4-5D6E-409C-BE32-E72D297353CC}">
              <c16:uniqueId val="{0000001A-705B-4CFD-94D4-D39BE96B293B}"/>
            </c:ext>
          </c:extLst>
        </c:ser>
        <c:ser>
          <c:idx val="8"/>
          <c:order val="8"/>
          <c:tx>
            <c:strRef>
              <c:f>contribution_cell!$L$47</c:f>
              <c:strCache>
                <c:ptCount val="1"/>
                <c:pt idx="0">
                  <c:v>Polypropylene, granulate {GLO}| market for | Cut-off, U</c:v>
                </c:pt>
              </c:strCache>
            </c:strRef>
          </c:tx>
          <c:spPr>
            <a:solidFill>
              <a:schemeClr val="accent3">
                <a:lumMod val="60000"/>
              </a:schemeClr>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contribution_cell!$L$48:$L$63</c:f>
              <c:numCache>
                <c:formatCode>0.00E+00</c:formatCode>
                <c:ptCount val="16"/>
                <c:pt idx="0">
                  <c:v>3.0490351999999999E-3</c:v>
                </c:pt>
                <c:pt idx="1">
                  <c:v>6.2149097000000002E-11</c:v>
                </c:pt>
                <c:pt idx="2">
                  <c:v>3.5387438999999999E-5</c:v>
                </c:pt>
                <c:pt idx="3">
                  <c:v>9.9937546999999995E-6</c:v>
                </c:pt>
                <c:pt idx="4">
                  <c:v>1.0169913E-10</c:v>
                </c:pt>
                <c:pt idx="5">
                  <c:v>2.1824867E-11</c:v>
                </c:pt>
                <c:pt idx="6">
                  <c:v>7.0337921999999999E-13</c:v>
                </c:pt>
                <c:pt idx="7">
                  <c:v>1.2260677E-5</c:v>
                </c:pt>
                <c:pt idx="8">
                  <c:v>6.0564037000000001E-8</c:v>
                </c:pt>
                <c:pt idx="9">
                  <c:v>2.2098761999999999E-6</c:v>
                </c:pt>
                <c:pt idx="10">
                  <c:v>2.4585417999999999E-5</c:v>
                </c:pt>
                <c:pt idx="11">
                  <c:v>3.1975961999999997E-2</c:v>
                </c:pt>
                <c:pt idx="12">
                  <c:v>4.2555198000000004E-3</c:v>
                </c:pt>
                <c:pt idx="13">
                  <c:v>1.2080114000000001E-3</c:v>
                </c:pt>
                <c:pt idx="14">
                  <c:v>9.6511693999999995E-2</c:v>
                </c:pt>
                <c:pt idx="15">
                  <c:v>2.8383144E-8</c:v>
                </c:pt>
              </c:numCache>
            </c:numRef>
          </c:val>
          <c:extLst>
            <c:ext xmlns:c16="http://schemas.microsoft.com/office/drawing/2014/chart" uri="{C3380CC4-5D6E-409C-BE32-E72D297353CC}">
              <c16:uniqueId val="{0000001B-705B-4CFD-94D4-D39BE96B293B}"/>
            </c:ext>
          </c:extLst>
        </c:ser>
        <c:ser>
          <c:idx val="9"/>
          <c:order val="9"/>
          <c:tx>
            <c:strRef>
              <c:f>contribution_cell!$M$47</c:f>
              <c:strCache>
                <c:ptCount val="1"/>
                <c:pt idx="0">
                  <c:v>Extrusion, plastic film {GLO}| market for | Cut-off, U</c:v>
                </c:pt>
              </c:strCache>
            </c:strRef>
          </c:tx>
          <c:spPr>
            <a:solidFill>
              <a:schemeClr val="accent4">
                <a:lumMod val="60000"/>
              </a:schemeClr>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contribution_cell!$M$48:$M$63</c:f>
              <c:numCache>
                <c:formatCode>0.00E+00</c:formatCode>
                <c:ptCount val="16"/>
                <c:pt idx="0">
                  <c:v>7.3155800999999995E-4</c:v>
                </c:pt>
                <c:pt idx="1">
                  <c:v>3.7394329999999998E-11</c:v>
                </c:pt>
                <c:pt idx="2">
                  <c:v>4.3112477999999997E-5</c:v>
                </c:pt>
                <c:pt idx="3">
                  <c:v>1.9372702999999999E-6</c:v>
                </c:pt>
                <c:pt idx="4">
                  <c:v>3.2095580999999999E-11</c:v>
                </c:pt>
                <c:pt idx="5">
                  <c:v>6.8237138000000004E-12</c:v>
                </c:pt>
                <c:pt idx="6">
                  <c:v>3.4062389000000001E-13</c:v>
                </c:pt>
                <c:pt idx="7">
                  <c:v>3.6418028E-6</c:v>
                </c:pt>
                <c:pt idx="8">
                  <c:v>3.975969E-8</c:v>
                </c:pt>
                <c:pt idx="9">
                  <c:v>6.1600486999999999E-7</c:v>
                </c:pt>
                <c:pt idx="10">
                  <c:v>7.0564199999999996E-6</c:v>
                </c:pt>
                <c:pt idx="11">
                  <c:v>1.2954223000000001E-2</c:v>
                </c:pt>
                <c:pt idx="12">
                  <c:v>1.1402977E-2</c:v>
                </c:pt>
                <c:pt idx="13">
                  <c:v>1.0506313000000001E-3</c:v>
                </c:pt>
                <c:pt idx="14">
                  <c:v>9.8153597999999995E-3</c:v>
                </c:pt>
                <c:pt idx="15">
                  <c:v>7.2263494000000002E-9</c:v>
                </c:pt>
              </c:numCache>
            </c:numRef>
          </c:val>
          <c:extLst>
            <c:ext xmlns:c16="http://schemas.microsoft.com/office/drawing/2014/chart" uri="{C3380CC4-5D6E-409C-BE32-E72D297353CC}">
              <c16:uniqueId val="{0000001C-705B-4CFD-94D4-D39BE96B293B}"/>
            </c:ext>
          </c:extLst>
        </c:ser>
        <c:ser>
          <c:idx val="10"/>
          <c:order val="10"/>
          <c:tx>
            <c:strRef>
              <c:f>contribution_cell!$N$47</c:f>
              <c:strCache>
                <c:ptCount val="1"/>
                <c:pt idx="0">
                  <c:v>Aluminium, wrought alloy {GLO}| market for | Cut-off, U</c:v>
                </c:pt>
              </c:strCache>
            </c:strRef>
          </c:tx>
          <c:spPr>
            <a:solidFill>
              <a:schemeClr val="accent5">
                <a:lumMod val="60000"/>
              </a:schemeClr>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contribution_cell!$N$48:$N$63</c:f>
              <c:numCache>
                <c:formatCode>0.00E+00</c:formatCode>
                <c:ptCount val="16"/>
                <c:pt idx="0">
                  <c:v>0.25081822999999998</c:v>
                </c:pt>
                <c:pt idx="1">
                  <c:v>9.9369068E-9</c:v>
                </c:pt>
                <c:pt idx="2">
                  <c:v>3.6273211999999998E-3</c:v>
                </c:pt>
                <c:pt idx="3">
                  <c:v>8.0970631000000005E-4</c:v>
                </c:pt>
                <c:pt idx="4">
                  <c:v>1.9156444999999999E-8</c:v>
                </c:pt>
                <c:pt idx="5">
                  <c:v>6.5897003000000002E-9</c:v>
                </c:pt>
                <c:pt idx="6">
                  <c:v>3.5380772000000002E-10</c:v>
                </c:pt>
                <c:pt idx="7">
                  <c:v>1.6626555E-3</c:v>
                </c:pt>
                <c:pt idx="8">
                  <c:v>8.5885913999999995E-6</c:v>
                </c:pt>
                <c:pt idx="9">
                  <c:v>2.4748141000000001E-4</c:v>
                </c:pt>
                <c:pt idx="10">
                  <c:v>2.760116E-3</c:v>
                </c:pt>
                <c:pt idx="11">
                  <c:v>6.7400504000000003</c:v>
                </c:pt>
                <c:pt idx="12">
                  <c:v>0.46325382999999998</c:v>
                </c:pt>
                <c:pt idx="13">
                  <c:v>3.5094567E-2</c:v>
                </c:pt>
                <c:pt idx="14">
                  <c:v>2.3724259000000001</c:v>
                </c:pt>
                <c:pt idx="15">
                  <c:v>8.8501656999999997E-7</c:v>
                </c:pt>
              </c:numCache>
            </c:numRef>
          </c:val>
          <c:extLst>
            <c:ext xmlns:c16="http://schemas.microsoft.com/office/drawing/2014/chart" uri="{C3380CC4-5D6E-409C-BE32-E72D297353CC}">
              <c16:uniqueId val="{0000001D-705B-4CFD-94D4-D39BE96B293B}"/>
            </c:ext>
          </c:extLst>
        </c:ser>
        <c:ser>
          <c:idx val="11"/>
          <c:order val="11"/>
          <c:tx>
            <c:strRef>
              <c:f>contribution_cell!$O$47</c:f>
              <c:strCache>
                <c:ptCount val="1"/>
                <c:pt idx="0">
                  <c:v>Sheet rolling, aluminium {GLO}| market for | Cut-off, U</c:v>
                </c:pt>
              </c:strCache>
            </c:strRef>
          </c:tx>
          <c:spPr>
            <a:solidFill>
              <a:schemeClr val="accent6">
                <a:lumMod val="60000"/>
              </a:schemeClr>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contribution_cell!$O$48:$O$63</c:f>
              <c:numCache>
                <c:formatCode>0.00E+00</c:formatCode>
                <c:ptCount val="16"/>
                <c:pt idx="0">
                  <c:v>1.2481061E-2</c:v>
                </c:pt>
                <c:pt idx="1">
                  <c:v>6.3507449E-10</c:v>
                </c:pt>
                <c:pt idx="2">
                  <c:v>4.7061579000000001E-4</c:v>
                </c:pt>
                <c:pt idx="3">
                  <c:v>4.2215729999999998E-5</c:v>
                </c:pt>
                <c:pt idx="4">
                  <c:v>5.4792175000000005E-10</c:v>
                </c:pt>
                <c:pt idx="5">
                  <c:v>1.5756813E-10</c:v>
                </c:pt>
                <c:pt idx="6">
                  <c:v>6.9240301999999996E-12</c:v>
                </c:pt>
                <c:pt idx="7">
                  <c:v>6.1621484999999998E-5</c:v>
                </c:pt>
                <c:pt idx="8">
                  <c:v>5.2641903999999998E-7</c:v>
                </c:pt>
                <c:pt idx="9">
                  <c:v>1.0283277000000001E-5</c:v>
                </c:pt>
                <c:pt idx="10">
                  <c:v>1.1490993E-4</c:v>
                </c:pt>
                <c:pt idx="11">
                  <c:v>0.30478916</c:v>
                </c:pt>
                <c:pt idx="12">
                  <c:v>2.4413609999999999E-2</c:v>
                </c:pt>
                <c:pt idx="13">
                  <c:v>2.6405767999999998E-3</c:v>
                </c:pt>
                <c:pt idx="14">
                  <c:v>0.15243553000000001</c:v>
                </c:pt>
                <c:pt idx="15">
                  <c:v>3.3795843E-8</c:v>
                </c:pt>
              </c:numCache>
            </c:numRef>
          </c:val>
          <c:extLst>
            <c:ext xmlns:c16="http://schemas.microsoft.com/office/drawing/2014/chart" uri="{C3380CC4-5D6E-409C-BE32-E72D297353CC}">
              <c16:uniqueId val="{0000001E-705B-4CFD-94D4-D39BE96B293B}"/>
            </c:ext>
          </c:extLst>
        </c:ser>
        <c:ser>
          <c:idx val="12"/>
          <c:order val="12"/>
          <c:tx>
            <c:strRef>
              <c:f>contribution_cell!$P$47</c:f>
              <c:strCache>
                <c:ptCount val="1"/>
                <c:pt idx="0">
                  <c:v>Aluminium, wrought alloy {GLO}| market for | Cut-off, U</c:v>
                </c:pt>
              </c:strCache>
            </c:strRef>
          </c:tx>
          <c:spPr>
            <a:solidFill>
              <a:schemeClr val="accent1">
                <a:lumMod val="80000"/>
                <a:lumOff val="20000"/>
              </a:schemeClr>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contribution_cell!$P$48:$P$63</c:f>
              <c:numCache>
                <c:formatCode>0.00E+00</c:formatCode>
                <c:ptCount val="16"/>
                <c:pt idx="0">
                  <c:v>0.14251036</c:v>
                </c:pt>
                <c:pt idx="1">
                  <c:v>5.6459698E-9</c:v>
                </c:pt>
                <c:pt idx="2">
                  <c:v>2.0609779000000002E-3</c:v>
                </c:pt>
                <c:pt idx="3">
                  <c:v>4.6006040000000001E-4</c:v>
                </c:pt>
                <c:pt idx="4">
                  <c:v>1.0884344000000001E-8</c:v>
                </c:pt>
                <c:pt idx="5">
                  <c:v>3.7441479000000003E-9</c:v>
                </c:pt>
                <c:pt idx="6">
                  <c:v>2.0102711E-10</c:v>
                </c:pt>
                <c:pt idx="7">
                  <c:v>9.4469064999999999E-4</c:v>
                </c:pt>
                <c:pt idx="8">
                  <c:v>4.8798814999999999E-6</c:v>
                </c:pt>
                <c:pt idx="9">
                  <c:v>1.4061444000000001E-4</c:v>
                </c:pt>
                <c:pt idx="10">
                  <c:v>1.5682477000000001E-3</c:v>
                </c:pt>
                <c:pt idx="11">
                  <c:v>3.8295740999999999</c:v>
                </c:pt>
                <c:pt idx="12">
                  <c:v>0.26321240000000001</c:v>
                </c:pt>
                <c:pt idx="13">
                  <c:v>1.9940095000000001E-2</c:v>
                </c:pt>
                <c:pt idx="14">
                  <c:v>1.3479692999999999</c:v>
                </c:pt>
                <c:pt idx="15">
                  <c:v>5.0285031999999998E-7</c:v>
                </c:pt>
              </c:numCache>
            </c:numRef>
          </c:val>
          <c:extLst>
            <c:ext xmlns:c16="http://schemas.microsoft.com/office/drawing/2014/chart" uri="{C3380CC4-5D6E-409C-BE32-E72D297353CC}">
              <c16:uniqueId val="{0000001F-705B-4CFD-94D4-D39BE96B293B}"/>
            </c:ext>
          </c:extLst>
        </c:ser>
        <c:ser>
          <c:idx val="13"/>
          <c:order val="13"/>
          <c:tx>
            <c:strRef>
              <c:f>contribution_cell!$Q$47</c:f>
              <c:strCache>
                <c:ptCount val="1"/>
                <c:pt idx="0">
                  <c:v>Sheet rolling, aluminium {GLO}| market for | Cut-off, U</c:v>
                </c:pt>
              </c:strCache>
            </c:strRef>
          </c:tx>
          <c:spPr>
            <a:solidFill>
              <a:schemeClr val="accent2">
                <a:lumMod val="80000"/>
                <a:lumOff val="20000"/>
              </a:schemeClr>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contribution_cell!$Q$48:$Q$63</c:f>
              <c:numCache>
                <c:formatCode>0.00E+00</c:formatCode>
                <c:ptCount val="16"/>
                <c:pt idx="0">
                  <c:v>7.0915120999999999E-3</c:v>
                </c:pt>
                <c:pt idx="1">
                  <c:v>3.6083778E-10</c:v>
                </c:pt>
                <c:pt idx="2">
                  <c:v>2.6739534000000002E-4</c:v>
                </c:pt>
                <c:pt idx="3">
                  <c:v>2.3986210000000002E-5</c:v>
                </c:pt>
                <c:pt idx="4">
                  <c:v>3.1131917999999998E-10</c:v>
                </c:pt>
                <c:pt idx="5">
                  <c:v>8.9527347E-11</c:v>
                </c:pt>
                <c:pt idx="6">
                  <c:v>3.9341081000000002E-12</c:v>
                </c:pt>
                <c:pt idx="7">
                  <c:v>3.5012207999999998E-5</c:v>
                </c:pt>
                <c:pt idx="8">
                  <c:v>2.9910172000000002E-7</c:v>
                </c:pt>
                <c:pt idx="9">
                  <c:v>5.8427711999999999E-6</c:v>
                </c:pt>
                <c:pt idx="10">
                  <c:v>6.5289731999999993E-5</c:v>
                </c:pt>
                <c:pt idx="11">
                  <c:v>0.17317566000000001</c:v>
                </c:pt>
                <c:pt idx="12">
                  <c:v>1.3871369E-2</c:v>
                </c:pt>
                <c:pt idx="13">
                  <c:v>1.5003277000000001E-3</c:v>
                </c:pt>
                <c:pt idx="14">
                  <c:v>8.6611094E-2</c:v>
                </c:pt>
                <c:pt idx="15">
                  <c:v>1.9202184000000001E-8</c:v>
                </c:pt>
              </c:numCache>
            </c:numRef>
          </c:val>
          <c:extLst>
            <c:ext xmlns:c16="http://schemas.microsoft.com/office/drawing/2014/chart" uri="{C3380CC4-5D6E-409C-BE32-E72D297353CC}">
              <c16:uniqueId val="{00000020-705B-4CFD-94D4-D39BE96B293B}"/>
            </c:ext>
          </c:extLst>
        </c:ser>
        <c:ser>
          <c:idx val="14"/>
          <c:order val="14"/>
          <c:tx>
            <c:strRef>
              <c:f>contribution_cell!$R$47</c:f>
              <c:strCache>
                <c:ptCount val="1"/>
                <c:pt idx="0">
                  <c:v>Copper {GLO}| market for | Cut-off, U</c:v>
                </c:pt>
              </c:strCache>
            </c:strRef>
          </c:tx>
          <c:spPr>
            <a:solidFill>
              <a:schemeClr val="accent3">
                <a:lumMod val="80000"/>
                <a:lumOff val="20000"/>
              </a:schemeClr>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contribution_cell!$R$48:$R$63</c:f>
              <c:numCache>
                <c:formatCode>0.00E+00</c:formatCode>
                <c:ptCount val="16"/>
                <c:pt idx="0">
                  <c:v>0.16826418000000001</c:v>
                </c:pt>
                <c:pt idx="1">
                  <c:v>9.8238876999999998E-9</c:v>
                </c:pt>
                <c:pt idx="2">
                  <c:v>5.1836015999999997E-3</c:v>
                </c:pt>
                <c:pt idx="3">
                  <c:v>3.6055725000000002E-3</c:v>
                </c:pt>
                <c:pt idx="4">
                  <c:v>4.1492090000000001E-8</c:v>
                </c:pt>
                <c:pt idx="5">
                  <c:v>2.2208026E-7</c:v>
                </c:pt>
                <c:pt idx="6">
                  <c:v>2.5948026999999998E-9</c:v>
                </c:pt>
                <c:pt idx="7">
                  <c:v>1.9361030000000001E-2</c:v>
                </c:pt>
                <c:pt idx="8">
                  <c:v>1.5417130999999999E-4</c:v>
                </c:pt>
                <c:pt idx="9">
                  <c:v>8.9178100000000002E-4</c:v>
                </c:pt>
                <c:pt idx="10">
                  <c:v>1.3531351E-2</c:v>
                </c:pt>
                <c:pt idx="11">
                  <c:v>186.60579999999999</c:v>
                </c:pt>
                <c:pt idx="12">
                  <c:v>2.564562</c:v>
                </c:pt>
                <c:pt idx="13">
                  <c:v>0.13961766</c:v>
                </c:pt>
                <c:pt idx="14">
                  <c:v>1.7695702</c:v>
                </c:pt>
                <c:pt idx="15">
                  <c:v>1.1043715E-4</c:v>
                </c:pt>
              </c:numCache>
            </c:numRef>
          </c:val>
          <c:extLst>
            <c:ext xmlns:c16="http://schemas.microsoft.com/office/drawing/2014/chart" uri="{C3380CC4-5D6E-409C-BE32-E72D297353CC}">
              <c16:uniqueId val="{00000021-705B-4CFD-94D4-D39BE96B293B}"/>
            </c:ext>
          </c:extLst>
        </c:ser>
        <c:ser>
          <c:idx val="15"/>
          <c:order val="15"/>
          <c:tx>
            <c:strRef>
              <c:f>contribution_cell!$S$47</c:f>
              <c:strCache>
                <c:ptCount val="1"/>
                <c:pt idx="0">
                  <c:v>Sheet rolling, copper {GLO}| market for | Cut-off, U</c:v>
                </c:pt>
              </c:strCache>
            </c:strRef>
          </c:tx>
          <c:spPr>
            <a:solidFill>
              <a:schemeClr val="accent4">
                <a:lumMod val="80000"/>
                <a:lumOff val="20000"/>
              </a:schemeClr>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contribution_cell!$S$48:$S$63</c:f>
              <c:numCache>
                <c:formatCode>0.00E+00</c:formatCode>
                <c:ptCount val="16"/>
                <c:pt idx="0">
                  <c:v>1.6584556E-2</c:v>
                </c:pt>
                <c:pt idx="1">
                  <c:v>9.9527898999999995E-10</c:v>
                </c:pt>
                <c:pt idx="2">
                  <c:v>7.0513205000000004E-4</c:v>
                </c:pt>
                <c:pt idx="3">
                  <c:v>1.8414586000000001E-4</c:v>
                </c:pt>
                <c:pt idx="4">
                  <c:v>2.1519149000000002E-9</c:v>
                </c:pt>
                <c:pt idx="5">
                  <c:v>8.8969871999999994E-9</c:v>
                </c:pt>
                <c:pt idx="6">
                  <c:v>1.0842334E-10</c:v>
                </c:pt>
                <c:pt idx="7">
                  <c:v>8.1787614000000002E-4</c:v>
                </c:pt>
                <c:pt idx="8">
                  <c:v>6.5635557E-6</c:v>
                </c:pt>
                <c:pt idx="9">
                  <c:v>4.2977591000000002E-5</c:v>
                </c:pt>
                <c:pt idx="10">
                  <c:v>6.1977126000000002E-4</c:v>
                </c:pt>
                <c:pt idx="11">
                  <c:v>7.8670365000000002</c:v>
                </c:pt>
                <c:pt idx="12">
                  <c:v>0.14512628999999999</c:v>
                </c:pt>
                <c:pt idx="13">
                  <c:v>1.6884547999999999E-2</c:v>
                </c:pt>
                <c:pt idx="14">
                  <c:v>0.19602138999999999</c:v>
                </c:pt>
                <c:pt idx="15">
                  <c:v>4.4074151999999996E-6</c:v>
                </c:pt>
              </c:numCache>
            </c:numRef>
          </c:val>
          <c:extLst>
            <c:ext xmlns:c16="http://schemas.microsoft.com/office/drawing/2014/chart" uri="{C3380CC4-5D6E-409C-BE32-E72D297353CC}">
              <c16:uniqueId val="{00000022-705B-4CFD-94D4-D39BE96B293B}"/>
            </c:ext>
          </c:extLst>
        </c:ser>
        <c:ser>
          <c:idx val="16"/>
          <c:order val="16"/>
          <c:tx>
            <c:strRef>
              <c:f>contribution_cell!$T$47</c:f>
              <c:strCache>
                <c:ptCount val="1"/>
                <c:pt idx="0">
                  <c:v>Chemical factory, organics {GLO}| market for | Cut-off, U</c:v>
                </c:pt>
              </c:strCache>
            </c:strRef>
          </c:tx>
          <c:spPr>
            <a:solidFill>
              <a:schemeClr val="accent5">
                <a:lumMod val="80000"/>
                <a:lumOff val="20000"/>
              </a:schemeClr>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contribution_cell!$T$48:$T$63</c:f>
              <c:numCache>
                <c:formatCode>0.00E+00</c:formatCode>
                <c:ptCount val="16"/>
                <c:pt idx="0">
                  <c:v>5.9828266999999997E-2</c:v>
                </c:pt>
                <c:pt idx="1">
                  <c:v>3.8261005999999996E-9</c:v>
                </c:pt>
                <c:pt idx="2">
                  <c:v>2.9145620999999999E-3</c:v>
                </c:pt>
                <c:pt idx="3">
                  <c:v>2.6936385999999998E-4</c:v>
                </c:pt>
                <c:pt idx="4">
                  <c:v>4.5565934000000001E-9</c:v>
                </c:pt>
                <c:pt idx="5">
                  <c:v>6.1115889E-9</c:v>
                </c:pt>
                <c:pt idx="6">
                  <c:v>2.2773698E-10</c:v>
                </c:pt>
                <c:pt idx="7">
                  <c:v>7.2446816000000004E-4</c:v>
                </c:pt>
                <c:pt idx="8">
                  <c:v>6.9164806999999996E-6</c:v>
                </c:pt>
                <c:pt idx="9">
                  <c:v>7.6075858000000006E-5</c:v>
                </c:pt>
                <c:pt idx="10">
                  <c:v>9.6792598E-4</c:v>
                </c:pt>
                <c:pt idx="11">
                  <c:v>5.6277008000000004</c:v>
                </c:pt>
                <c:pt idx="12">
                  <c:v>0.99396057999999998</c:v>
                </c:pt>
                <c:pt idx="13">
                  <c:v>1.5737735999999999E-2</c:v>
                </c:pt>
                <c:pt idx="14">
                  <c:v>0.71770858999999998</c:v>
                </c:pt>
                <c:pt idx="15">
                  <c:v>1.6292863E-5</c:v>
                </c:pt>
              </c:numCache>
            </c:numRef>
          </c:val>
          <c:extLst>
            <c:ext xmlns:c16="http://schemas.microsoft.com/office/drawing/2014/chart" uri="{C3380CC4-5D6E-409C-BE32-E72D297353CC}">
              <c16:uniqueId val="{00000023-705B-4CFD-94D4-D39BE96B293B}"/>
            </c:ext>
          </c:extLst>
        </c:ser>
        <c:ser>
          <c:idx val="17"/>
          <c:order val="17"/>
          <c:tx>
            <c:strRef>
              <c:f>contribution_cell!$U$47</c:f>
              <c:strCache>
                <c:ptCount val="1"/>
                <c:pt idx="0">
                  <c:v>Electricity, medium voltage {CN}| market group for | Cut-off, U</c:v>
                </c:pt>
              </c:strCache>
            </c:strRef>
          </c:tx>
          <c:spPr>
            <a:solidFill>
              <a:schemeClr val="accent6">
                <a:lumMod val="80000"/>
                <a:lumOff val="20000"/>
              </a:schemeClr>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contribution_cell!$U$48:$U$63</c:f>
              <c:numCache>
                <c:formatCode>0.00E+00</c:formatCode>
                <c:ptCount val="16"/>
                <c:pt idx="0">
                  <c:v>1.0892904999999999</c:v>
                </c:pt>
                <c:pt idx="1">
                  <c:v>6.8703637999999998E-9</c:v>
                </c:pt>
                <c:pt idx="2">
                  <c:v>6.1691947E-3</c:v>
                </c:pt>
                <c:pt idx="3">
                  <c:v>3.3334647999999998E-3</c:v>
                </c:pt>
                <c:pt idx="4">
                  <c:v>7.7148395000000001E-8</c:v>
                </c:pt>
                <c:pt idx="5">
                  <c:v>1.0786338E-8</c:v>
                </c:pt>
                <c:pt idx="6">
                  <c:v>2.1989438E-10</c:v>
                </c:pt>
                <c:pt idx="7">
                  <c:v>5.6512621999999998E-3</c:v>
                </c:pt>
                <c:pt idx="8">
                  <c:v>2.2904992E-5</c:v>
                </c:pt>
                <c:pt idx="9">
                  <c:v>1.1696876E-3</c:v>
                </c:pt>
                <c:pt idx="10">
                  <c:v>1.2868921E-2</c:v>
                </c:pt>
                <c:pt idx="11">
                  <c:v>27.526634000000001</c:v>
                </c:pt>
                <c:pt idx="12">
                  <c:v>2.0686000999999998</c:v>
                </c:pt>
                <c:pt idx="13">
                  <c:v>0.11143023000000001</c:v>
                </c:pt>
                <c:pt idx="14">
                  <c:v>9.6021929000000004</c:v>
                </c:pt>
                <c:pt idx="15">
                  <c:v>1.4168477E-6</c:v>
                </c:pt>
              </c:numCache>
            </c:numRef>
          </c:val>
          <c:extLst>
            <c:ext xmlns:c16="http://schemas.microsoft.com/office/drawing/2014/chart" uri="{C3380CC4-5D6E-409C-BE32-E72D297353CC}">
              <c16:uniqueId val="{00000024-705B-4CFD-94D4-D39BE96B293B}"/>
            </c:ext>
          </c:extLst>
        </c:ser>
        <c:ser>
          <c:idx val="18"/>
          <c:order val="18"/>
          <c:tx>
            <c:strRef>
              <c:f>contribution_cell!$V$47</c:f>
              <c:strCache>
                <c:ptCount val="1"/>
                <c:pt idx="0">
                  <c:v>Heat, district or industrial, natural gas {GLO}| market group for | Cut-off, U</c:v>
                </c:pt>
              </c:strCache>
            </c:strRef>
          </c:tx>
          <c:spPr>
            <a:solidFill>
              <a:schemeClr val="accent1">
                <a:lumMod val="80000"/>
              </a:schemeClr>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contribution_cell!$V$48:$V$63</c:f>
              <c:numCache>
                <c:formatCode>0.00E+00</c:formatCode>
                <c:ptCount val="16"/>
                <c:pt idx="0">
                  <c:v>0.59522443000000003</c:v>
                </c:pt>
                <c:pt idx="1">
                  <c:v>7.2582482999999999E-8</c:v>
                </c:pt>
                <c:pt idx="2">
                  <c:v>1.9441972E-3</c:v>
                </c:pt>
                <c:pt idx="3">
                  <c:v>7.9169861999999998E-4</c:v>
                </c:pt>
                <c:pt idx="4">
                  <c:v>2.3946654000000002E-9</c:v>
                </c:pt>
                <c:pt idx="5">
                  <c:v>1.2476996E-9</c:v>
                </c:pt>
                <c:pt idx="6">
                  <c:v>5.0662126000000002E-11</c:v>
                </c:pt>
                <c:pt idx="7">
                  <c:v>8.1688664E-4</c:v>
                </c:pt>
                <c:pt idx="8">
                  <c:v>8.7436654000000001E-7</c:v>
                </c:pt>
                <c:pt idx="9">
                  <c:v>1.9848528999999999E-4</c:v>
                </c:pt>
                <c:pt idx="10">
                  <c:v>2.1711039000000001E-3</c:v>
                </c:pt>
                <c:pt idx="11">
                  <c:v>1.8160232999999999</c:v>
                </c:pt>
                <c:pt idx="12">
                  <c:v>0.30075555999999998</c:v>
                </c:pt>
                <c:pt idx="13">
                  <c:v>1.7801526000000002E-2</c:v>
                </c:pt>
                <c:pt idx="14">
                  <c:v>9.2776460000000007</c:v>
                </c:pt>
                <c:pt idx="15">
                  <c:v>2.8182763999999999E-7</c:v>
                </c:pt>
              </c:numCache>
            </c:numRef>
          </c:val>
          <c:extLst>
            <c:ext xmlns:c16="http://schemas.microsoft.com/office/drawing/2014/chart" uri="{C3380CC4-5D6E-409C-BE32-E72D297353CC}">
              <c16:uniqueId val="{00000025-705B-4CFD-94D4-D39BE96B293B}"/>
            </c:ext>
          </c:extLst>
        </c:ser>
        <c:ser>
          <c:idx val="19"/>
          <c:order val="19"/>
          <c:tx>
            <c:strRef>
              <c:f>contribution_cell!$W$47</c:f>
              <c:strCache>
                <c:ptCount val="1"/>
                <c:pt idx="0">
                  <c:v>Electricity, medium voltage {CN}| market group for | Cut-off, U</c:v>
                </c:pt>
              </c:strCache>
            </c:strRef>
          </c:tx>
          <c:spPr>
            <a:solidFill>
              <a:schemeClr val="accent2">
                <a:lumMod val="80000"/>
              </a:schemeClr>
            </a:solidFill>
            <a:ln>
              <a:noFill/>
            </a:ln>
            <a:effectLst/>
          </c:spPr>
          <c:invertIfNegative val="0"/>
          <c:cat>
            <c:strRef>
              <c:f>contribution_cell!$A$48:$A$63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contribution_cell!$W$48:$W$63</c:f>
              <c:numCache>
                <c:formatCode>0.00E+00</c:formatCode>
                <c:ptCount val="16"/>
                <c:pt idx="0">
                  <c:v>0.34329156</c:v>
                </c:pt>
                <c:pt idx="1">
                  <c:v>2.1652056000000001E-9</c:v>
                </c:pt>
                <c:pt idx="2">
                  <c:v>1.944231E-3</c:v>
                </c:pt>
                <c:pt idx="3">
                  <c:v>1.0505465E-3</c:v>
                </c:pt>
                <c:pt idx="4">
                  <c:v>2.4313434E-8</c:v>
                </c:pt>
                <c:pt idx="5">
                  <c:v>3.3993307999999999E-9</c:v>
                </c:pt>
                <c:pt idx="6">
                  <c:v>6.9300047000000004E-11</c:v>
                </c:pt>
                <c:pt idx="7">
                  <c:v>1.7810039000000001E-3</c:v>
                </c:pt>
                <c:pt idx="8">
                  <c:v>7.2185429999999997E-6</c:v>
                </c:pt>
                <c:pt idx="9">
                  <c:v>3.6862880999999998E-4</c:v>
                </c:pt>
                <c:pt idx="10">
                  <c:v>4.05566E-3</c:v>
                </c:pt>
                <c:pt idx="11">
                  <c:v>8.6750605000000007</c:v>
                </c:pt>
                <c:pt idx="12">
                  <c:v>0.65192245999999998</c:v>
                </c:pt>
                <c:pt idx="13">
                  <c:v>3.5117404999999997E-2</c:v>
                </c:pt>
                <c:pt idx="14">
                  <c:v>3.0261456</c:v>
                </c:pt>
                <c:pt idx="15">
                  <c:v>4.4652171000000001E-7</c:v>
                </c:pt>
              </c:numCache>
            </c:numRef>
          </c:val>
          <c:extLst>
            <c:ext xmlns:c16="http://schemas.microsoft.com/office/drawing/2014/chart" uri="{C3380CC4-5D6E-409C-BE32-E72D297353CC}">
              <c16:uniqueId val="{00000026-705B-4CFD-94D4-D39BE96B293B}"/>
            </c:ext>
          </c:extLst>
        </c:ser>
        <c:dLbls>
          <c:showLegendKey val="0"/>
          <c:showVal val="0"/>
          <c:showCatName val="0"/>
          <c:showSerName val="0"/>
          <c:showPercent val="0"/>
          <c:showBubbleSize val="0"/>
        </c:dLbls>
        <c:gapWidth val="150"/>
        <c:overlap val="100"/>
        <c:axId val="513835240"/>
        <c:axId val="513832616"/>
      </c:barChart>
      <c:catAx>
        <c:axId val="513835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832616"/>
        <c:crosses val="autoZero"/>
        <c:auto val="1"/>
        <c:lblAlgn val="ctr"/>
        <c:lblOffset val="100"/>
        <c:noMultiLvlLbl val="0"/>
      </c:catAx>
      <c:valAx>
        <c:axId val="5138326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835240"/>
        <c:crosses val="autoZero"/>
        <c:crossBetween val="between"/>
      </c:valAx>
      <c:spPr>
        <a:noFill/>
        <a:ln w="25400">
          <a:noFill/>
        </a:ln>
        <a:effectLst/>
      </c:spPr>
    </c:plotArea>
    <c:legend>
      <c:legendPos val="b"/>
      <c:layout>
        <c:manualLayout>
          <c:xMode val="edge"/>
          <c:yMode val="edge"/>
          <c:x val="3.5490297842209001E-2"/>
          <c:y val="0.8083869116955289"/>
          <c:w val="0.96450971341731184"/>
          <c:h val="0.18898825147838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55420207435949E-2"/>
          <c:y val="7.7797587834294704E-2"/>
          <c:w val="0.92433879969395671"/>
          <c:h val="0.49723117069726536"/>
        </c:manualLayout>
      </c:layout>
      <c:barChart>
        <c:barDir val="col"/>
        <c:grouping val="percentStacked"/>
        <c:varyColors val="0"/>
        <c:ser>
          <c:idx val="0"/>
          <c:order val="0"/>
          <c:tx>
            <c:strRef>
              <c:f>contribution_cathode!$D$7</c:f>
              <c:strCache>
                <c:ptCount val="1"/>
                <c:pt idx="0">
                  <c:v>NMC111 cathode</c:v>
                </c:pt>
              </c:strCache>
            </c:strRef>
          </c:tx>
          <c:spPr>
            <a:solidFill>
              <a:schemeClr val="accent1"/>
            </a:solidFill>
            <a:ln>
              <a:noFill/>
            </a:ln>
            <a:effectLst/>
          </c:spPr>
          <c:invertIfNegative val="0"/>
          <c:cat>
            <c:strRef>
              <c:f>contribution_cathode!$A$8:$A$23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contribution_cathode!$D$8:$D$23</c:f>
              <c:numCache>
                <c:formatCode>0.00E+00</c:formatCode>
                <c:ptCount val="16"/>
                <c:pt idx="0">
                  <c:v>0</c:v>
                </c:pt>
                <c:pt idx="1">
                  <c:v>0</c:v>
                </c:pt>
                <c:pt idx="2">
                  <c:v>0</c:v>
                </c:pt>
                <c:pt idx="3">
                  <c:v>0</c:v>
                </c:pt>
                <c:pt idx="4">
                  <c:v>0</c:v>
                </c:pt>
                <c:pt idx="5">
                  <c:v>1.180312E-10</c:v>
                </c:pt>
                <c:pt idx="6">
                  <c:v>4.4315040000000001E-11</c:v>
                </c:pt>
                <c:pt idx="7">
                  <c:v>0</c:v>
                </c:pt>
                <c:pt idx="8">
                  <c:v>0</c:v>
                </c:pt>
                <c:pt idx="9">
                  <c:v>0</c:v>
                </c:pt>
                <c:pt idx="10">
                  <c:v>0</c:v>
                </c:pt>
                <c:pt idx="11">
                  <c:v>4.5621519999999999E-2</c:v>
                </c:pt>
                <c:pt idx="12">
                  <c:v>0</c:v>
                </c:pt>
                <c:pt idx="13">
                  <c:v>0</c:v>
                </c:pt>
                <c:pt idx="14">
                  <c:v>0</c:v>
                </c:pt>
                <c:pt idx="15">
                  <c:v>0</c:v>
                </c:pt>
              </c:numCache>
            </c:numRef>
          </c:val>
          <c:extLst>
            <c:ext xmlns:c16="http://schemas.microsoft.com/office/drawing/2014/chart" uri="{C3380CC4-5D6E-409C-BE32-E72D297353CC}">
              <c16:uniqueId val="{00000000-3319-4C1D-B103-DE15AE3E2A58}"/>
            </c:ext>
          </c:extLst>
        </c:ser>
        <c:ser>
          <c:idx val="1"/>
          <c:order val="1"/>
          <c:tx>
            <c:strRef>
              <c:f>contribution_cathode!$E$7</c:f>
              <c:strCache>
                <c:ptCount val="1"/>
                <c:pt idx="0">
                  <c:v>NMC111 oxide</c:v>
                </c:pt>
              </c:strCache>
            </c:strRef>
          </c:tx>
          <c:spPr>
            <a:solidFill>
              <a:schemeClr val="accent2"/>
            </a:solidFill>
            <a:ln>
              <a:noFill/>
            </a:ln>
            <a:effectLst/>
          </c:spPr>
          <c:invertIfNegative val="0"/>
          <c:cat>
            <c:strRef>
              <c:f>contribution_cathode!$A$8:$A$23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contribution_cathode!$E$8:$E$23</c:f>
              <c:numCache>
                <c:formatCode>0.00E+00</c:formatCode>
                <c:ptCount val="16"/>
                <c:pt idx="0">
                  <c:v>19.119053999999998</c:v>
                </c:pt>
                <c:pt idx="1">
                  <c:v>1.7789934E-6</c:v>
                </c:pt>
                <c:pt idx="2">
                  <c:v>0.40990232999999998</c:v>
                </c:pt>
                <c:pt idx="3">
                  <c:v>0.12900033</c:v>
                </c:pt>
                <c:pt idx="4">
                  <c:v>1.1133561E-5</c:v>
                </c:pt>
                <c:pt idx="5">
                  <c:v>3.8409806000000001E-7</c:v>
                </c:pt>
                <c:pt idx="6">
                  <c:v>1.7043412000000001E-8</c:v>
                </c:pt>
                <c:pt idx="7">
                  <c:v>0.84787701000000004</c:v>
                </c:pt>
                <c:pt idx="8">
                  <c:v>7.1310286999999996E-4</c:v>
                </c:pt>
                <c:pt idx="9">
                  <c:v>2.8563252000000001E-2</c:v>
                </c:pt>
                <c:pt idx="10">
                  <c:v>0.41193463000000002</c:v>
                </c:pt>
                <c:pt idx="11">
                  <c:v>1551.8133</c:v>
                </c:pt>
                <c:pt idx="12">
                  <c:v>72.751527999999993</c:v>
                </c:pt>
                <c:pt idx="13">
                  <c:v>7.1860825000000004</c:v>
                </c:pt>
                <c:pt idx="14">
                  <c:v>198.09625</c:v>
                </c:pt>
                <c:pt idx="15">
                  <c:v>1.2540737000000001E-3</c:v>
                </c:pt>
              </c:numCache>
            </c:numRef>
          </c:val>
          <c:extLst>
            <c:ext xmlns:c16="http://schemas.microsoft.com/office/drawing/2014/chart" uri="{C3380CC4-5D6E-409C-BE32-E72D297353CC}">
              <c16:uniqueId val="{00000001-3319-4C1D-B103-DE15AE3E2A58}"/>
            </c:ext>
          </c:extLst>
        </c:ser>
        <c:ser>
          <c:idx val="2"/>
          <c:order val="2"/>
          <c:tx>
            <c:strRef>
              <c:f>contribution_cathode!$F$7</c:f>
              <c:strCache>
                <c:ptCount val="1"/>
                <c:pt idx="0">
                  <c:v>Carbon black {GLO}| market for | Cut-off, U</c:v>
                </c:pt>
              </c:strCache>
            </c:strRef>
          </c:tx>
          <c:spPr>
            <a:solidFill>
              <a:schemeClr val="accent3"/>
            </a:solidFill>
            <a:ln>
              <a:noFill/>
            </a:ln>
            <a:effectLst/>
          </c:spPr>
          <c:invertIfNegative val="0"/>
          <c:cat>
            <c:strRef>
              <c:f>contribution_cathode!$A$8:$A$23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contribution_cathode!$F$8:$F$23</c:f>
              <c:numCache>
                <c:formatCode>0.00E+00</c:formatCode>
                <c:ptCount val="16"/>
                <c:pt idx="0">
                  <c:v>4.6856041000000001E-2</c:v>
                </c:pt>
                <c:pt idx="1">
                  <c:v>3.0526641000000001E-8</c:v>
                </c:pt>
                <c:pt idx="2">
                  <c:v>8.2295821000000005E-3</c:v>
                </c:pt>
                <c:pt idx="3">
                  <c:v>1.49281E-4</c:v>
                </c:pt>
                <c:pt idx="4">
                  <c:v>7.1741490999999998E-9</c:v>
                </c:pt>
                <c:pt idx="5">
                  <c:v>3.7067586000000002E-10</c:v>
                </c:pt>
                <c:pt idx="6">
                  <c:v>1.0844703000000001E-11</c:v>
                </c:pt>
                <c:pt idx="7">
                  <c:v>3.0850121000000001E-4</c:v>
                </c:pt>
                <c:pt idx="8">
                  <c:v>3.1316606999999998E-7</c:v>
                </c:pt>
                <c:pt idx="9">
                  <c:v>3.7866396000000003E-5</c:v>
                </c:pt>
                <c:pt idx="10">
                  <c:v>4.2031263999999999E-4</c:v>
                </c:pt>
                <c:pt idx="11">
                  <c:v>1.0647409000000001</c:v>
                </c:pt>
                <c:pt idx="12">
                  <c:v>0.24906391999999999</c:v>
                </c:pt>
                <c:pt idx="13">
                  <c:v>1.8536929E-3</c:v>
                </c:pt>
                <c:pt idx="14">
                  <c:v>1.9016158000000001</c:v>
                </c:pt>
                <c:pt idx="15">
                  <c:v>4.6813858999999998E-7</c:v>
                </c:pt>
              </c:numCache>
            </c:numRef>
          </c:val>
          <c:extLst>
            <c:ext xmlns:c16="http://schemas.microsoft.com/office/drawing/2014/chart" uri="{C3380CC4-5D6E-409C-BE32-E72D297353CC}">
              <c16:uniqueId val="{00000002-3319-4C1D-B103-DE15AE3E2A58}"/>
            </c:ext>
          </c:extLst>
        </c:ser>
        <c:ser>
          <c:idx val="3"/>
          <c:order val="3"/>
          <c:tx>
            <c:strRef>
              <c:f>contribution_cathode!$G$7</c:f>
              <c:strCache>
                <c:ptCount val="1"/>
                <c:pt idx="0">
                  <c:v>Polyvinylfluoride {GLO}| market for | Cut-off, U</c:v>
                </c:pt>
              </c:strCache>
            </c:strRef>
          </c:tx>
          <c:spPr>
            <a:solidFill>
              <a:schemeClr val="accent4"/>
            </a:solidFill>
            <a:ln>
              <a:noFill/>
            </a:ln>
            <a:effectLst/>
          </c:spPr>
          <c:invertIfNegative val="0"/>
          <c:cat>
            <c:strRef>
              <c:f>contribution_cathode!$A$8:$A$23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contribution_cathode!$G$8:$G$23</c:f>
              <c:numCache>
                <c:formatCode>0.00E+00</c:formatCode>
                <c:ptCount val="16"/>
                <c:pt idx="0">
                  <c:v>0.39935209999999999</c:v>
                </c:pt>
                <c:pt idx="1">
                  <c:v>2.1410701E-8</c:v>
                </c:pt>
                <c:pt idx="2">
                  <c:v>1.4460229E-2</c:v>
                </c:pt>
                <c:pt idx="3">
                  <c:v>7.0252124999999998E-4</c:v>
                </c:pt>
                <c:pt idx="4">
                  <c:v>1.0386941E-8</c:v>
                </c:pt>
                <c:pt idx="5">
                  <c:v>2.9119074000000001E-9</c:v>
                </c:pt>
                <c:pt idx="6">
                  <c:v>9.0396140999999995E-11</c:v>
                </c:pt>
                <c:pt idx="7">
                  <c:v>1.6237631999999999E-3</c:v>
                </c:pt>
                <c:pt idx="8">
                  <c:v>1.2466627000000001E-5</c:v>
                </c:pt>
                <c:pt idx="9">
                  <c:v>2.0946545999999999E-4</c:v>
                </c:pt>
                <c:pt idx="10">
                  <c:v>2.3881989000000001E-3</c:v>
                </c:pt>
                <c:pt idx="11">
                  <c:v>4.3667866000000002</c:v>
                </c:pt>
                <c:pt idx="12">
                  <c:v>0.70418314999999998</c:v>
                </c:pt>
                <c:pt idx="13">
                  <c:v>0.13743929999999999</c:v>
                </c:pt>
                <c:pt idx="14">
                  <c:v>3.9712266000000001</c:v>
                </c:pt>
                <c:pt idx="15">
                  <c:v>1.4009391E-5</c:v>
                </c:pt>
              </c:numCache>
            </c:numRef>
          </c:val>
          <c:extLst>
            <c:ext xmlns:c16="http://schemas.microsoft.com/office/drawing/2014/chart" uri="{C3380CC4-5D6E-409C-BE32-E72D297353CC}">
              <c16:uniqueId val="{00000003-3319-4C1D-B103-DE15AE3E2A58}"/>
            </c:ext>
          </c:extLst>
        </c:ser>
        <c:ser>
          <c:idx val="4"/>
          <c:order val="4"/>
          <c:tx>
            <c:strRef>
              <c:f>contribution_cathode!$H$7</c:f>
              <c:strCache>
                <c:ptCount val="1"/>
                <c:pt idx="0">
                  <c:v>N-methyl-2-pyrrolidone {GLO}| market for | Cut-off, U</c:v>
                </c:pt>
              </c:strCache>
            </c:strRef>
          </c:tx>
          <c:spPr>
            <a:solidFill>
              <a:schemeClr val="accent5"/>
            </a:solidFill>
            <a:ln>
              <a:noFill/>
            </a:ln>
            <a:effectLst/>
          </c:spPr>
          <c:invertIfNegative val="0"/>
          <c:cat>
            <c:strRef>
              <c:f>contribution_cathode!$A$8:$A$23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contribution_cathode!$H$8:$H$23</c:f>
              <c:numCache>
                <c:formatCode>0.00E+00</c:formatCode>
                <c:ptCount val="16"/>
                <c:pt idx="0">
                  <c:v>3.6011224000000001E-2</c:v>
                </c:pt>
                <c:pt idx="1">
                  <c:v>3.5081328E-9</c:v>
                </c:pt>
                <c:pt idx="2">
                  <c:v>1.2924722000000001E-3</c:v>
                </c:pt>
                <c:pt idx="3">
                  <c:v>1.0877561E-4</c:v>
                </c:pt>
                <c:pt idx="4">
                  <c:v>1.6659034000000001E-9</c:v>
                </c:pt>
                <c:pt idx="5">
                  <c:v>4.0778199999999998E-10</c:v>
                </c:pt>
                <c:pt idx="6">
                  <c:v>2.3006681E-11</c:v>
                </c:pt>
                <c:pt idx="7">
                  <c:v>1.9405434000000001E-4</c:v>
                </c:pt>
                <c:pt idx="8">
                  <c:v>1.3761181000000001E-6</c:v>
                </c:pt>
                <c:pt idx="9">
                  <c:v>3.3116001000000002E-5</c:v>
                </c:pt>
                <c:pt idx="10">
                  <c:v>3.5698929999999999E-4</c:v>
                </c:pt>
                <c:pt idx="11">
                  <c:v>0.76031974999999996</c:v>
                </c:pt>
                <c:pt idx="12">
                  <c:v>0.12458341000000001</c:v>
                </c:pt>
                <c:pt idx="13">
                  <c:v>6.3443956999999995E-2</c:v>
                </c:pt>
                <c:pt idx="14">
                  <c:v>0.59014294</c:v>
                </c:pt>
                <c:pt idx="15">
                  <c:v>4.9084977000000004E-7</c:v>
                </c:pt>
              </c:numCache>
            </c:numRef>
          </c:val>
          <c:extLst>
            <c:ext xmlns:c16="http://schemas.microsoft.com/office/drawing/2014/chart" uri="{C3380CC4-5D6E-409C-BE32-E72D297353CC}">
              <c16:uniqueId val="{00000004-3319-4C1D-B103-DE15AE3E2A58}"/>
            </c:ext>
          </c:extLst>
        </c:ser>
        <c:ser>
          <c:idx val="5"/>
          <c:order val="5"/>
          <c:tx>
            <c:strRef>
              <c:f>contribution_cathode!$I$7</c:f>
              <c:strCache>
                <c:ptCount val="1"/>
                <c:pt idx="0">
                  <c:v>Chemical factory, organics {GLO}| market for | Cut-off, U</c:v>
                </c:pt>
              </c:strCache>
            </c:strRef>
          </c:tx>
          <c:spPr>
            <a:solidFill>
              <a:schemeClr val="accent6"/>
            </a:solidFill>
            <a:ln>
              <a:noFill/>
            </a:ln>
            <a:effectLst/>
          </c:spPr>
          <c:invertIfNegative val="0"/>
          <c:cat>
            <c:strRef>
              <c:f>contribution_cathode!$A$8:$A$23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contribution_cathode!$I$8:$I$23</c:f>
              <c:numCache>
                <c:formatCode>0.00E+00</c:formatCode>
                <c:ptCount val="16"/>
                <c:pt idx="0">
                  <c:v>5.9828267999999997E-2</c:v>
                </c:pt>
                <c:pt idx="1">
                  <c:v>3.8261005999999996E-9</c:v>
                </c:pt>
                <c:pt idx="2">
                  <c:v>2.9145620999999999E-3</c:v>
                </c:pt>
                <c:pt idx="3">
                  <c:v>2.6936385999999998E-4</c:v>
                </c:pt>
                <c:pt idx="4">
                  <c:v>4.5565934000000001E-9</c:v>
                </c:pt>
                <c:pt idx="5">
                  <c:v>6.1115889E-9</c:v>
                </c:pt>
                <c:pt idx="6">
                  <c:v>2.2773698E-10</c:v>
                </c:pt>
                <c:pt idx="7">
                  <c:v>7.2446816000000004E-4</c:v>
                </c:pt>
                <c:pt idx="8">
                  <c:v>6.9164806999999996E-6</c:v>
                </c:pt>
                <c:pt idx="9">
                  <c:v>7.6075858000000006E-5</c:v>
                </c:pt>
                <c:pt idx="10">
                  <c:v>9.6792598999999996E-4</c:v>
                </c:pt>
                <c:pt idx="11">
                  <c:v>5.6277007000000001</c:v>
                </c:pt>
                <c:pt idx="12">
                  <c:v>0.99396057000000004</c:v>
                </c:pt>
                <c:pt idx="13">
                  <c:v>1.5737735999999999E-2</c:v>
                </c:pt>
                <c:pt idx="14">
                  <c:v>0.71770858999999998</c:v>
                </c:pt>
                <c:pt idx="15">
                  <c:v>1.6292863E-5</c:v>
                </c:pt>
              </c:numCache>
            </c:numRef>
          </c:val>
          <c:extLst>
            <c:ext xmlns:c16="http://schemas.microsoft.com/office/drawing/2014/chart" uri="{C3380CC4-5D6E-409C-BE32-E72D297353CC}">
              <c16:uniqueId val="{00000005-3319-4C1D-B103-DE15AE3E2A58}"/>
            </c:ext>
          </c:extLst>
        </c:ser>
        <c:ser>
          <c:idx val="6"/>
          <c:order val="6"/>
          <c:tx>
            <c:strRef>
              <c:f>contribution_cathode!$J$7</c:f>
              <c:strCache>
                <c:ptCount val="1"/>
                <c:pt idx="0">
                  <c:v>Heat, district or industrial, natural gas {GLO}| market group for | Cut-off, U</c:v>
                </c:pt>
              </c:strCache>
            </c:strRef>
          </c:tx>
          <c:spPr>
            <a:solidFill>
              <a:schemeClr val="accent1">
                <a:lumMod val="60000"/>
              </a:schemeClr>
            </a:solidFill>
            <a:ln>
              <a:noFill/>
            </a:ln>
            <a:effectLst/>
          </c:spPr>
          <c:invertIfNegative val="0"/>
          <c:cat>
            <c:strRef>
              <c:f>contribution_cathode!$A$8:$A$23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contribution_cathode!$J$8:$J$23</c:f>
              <c:numCache>
                <c:formatCode>0.00E+00</c:formatCode>
                <c:ptCount val="16"/>
                <c:pt idx="0">
                  <c:v>1.0774090999999999</c:v>
                </c:pt>
                <c:pt idx="1">
                  <c:v>1.3138075E-7</c:v>
                </c:pt>
                <c:pt idx="2">
                  <c:v>3.5191697000000002E-3</c:v>
                </c:pt>
                <c:pt idx="3">
                  <c:v>1.4330448999999999E-3</c:v>
                </c:pt>
                <c:pt idx="4">
                  <c:v>4.3345572999999999E-9</c:v>
                </c:pt>
                <c:pt idx="5">
                  <c:v>2.2584472000000001E-9</c:v>
                </c:pt>
                <c:pt idx="6">
                  <c:v>9.1702950000000001E-11</c:v>
                </c:pt>
                <c:pt idx="7">
                  <c:v>1.4786374E-3</c:v>
                </c:pt>
                <c:pt idx="8">
                  <c:v>1.5826810999999999E-6</c:v>
                </c:pt>
                <c:pt idx="9">
                  <c:v>3.5927601000000002E-4</c:v>
                </c:pt>
                <c:pt idx="10">
                  <c:v>3.9298909999999996E-3</c:v>
                </c:pt>
                <c:pt idx="11">
                  <c:v>3.2871636</c:v>
                </c:pt>
                <c:pt idx="12">
                  <c:v>0.5443943</c:v>
                </c:pt>
                <c:pt idx="13">
                  <c:v>3.2222344E-2</c:v>
                </c:pt>
                <c:pt idx="14">
                  <c:v>16.793364</c:v>
                </c:pt>
                <c:pt idx="15">
                  <c:v>5.1013307E-7</c:v>
                </c:pt>
              </c:numCache>
            </c:numRef>
          </c:val>
          <c:extLst>
            <c:ext xmlns:c16="http://schemas.microsoft.com/office/drawing/2014/chart" uri="{C3380CC4-5D6E-409C-BE32-E72D297353CC}">
              <c16:uniqueId val="{00000006-3319-4C1D-B103-DE15AE3E2A58}"/>
            </c:ext>
          </c:extLst>
        </c:ser>
        <c:ser>
          <c:idx val="7"/>
          <c:order val="7"/>
          <c:tx>
            <c:strRef>
              <c:f>contribution_cathode!$K$7</c:f>
              <c:strCache>
                <c:ptCount val="1"/>
                <c:pt idx="0">
                  <c:v>Electricity, medium voltage {CN}| market group for | Cut-off, U</c:v>
                </c:pt>
              </c:strCache>
            </c:strRef>
          </c:tx>
          <c:spPr>
            <a:solidFill>
              <a:schemeClr val="accent2">
                <a:lumMod val="60000"/>
              </a:schemeClr>
            </a:solidFill>
            <a:ln>
              <a:noFill/>
            </a:ln>
            <a:effectLst/>
          </c:spPr>
          <c:invertIfNegative val="0"/>
          <c:cat>
            <c:strRef>
              <c:f>contribution_cathode!$A$8:$A$23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contribution_cathode!$K$8:$K$23</c:f>
              <c:numCache>
                <c:formatCode>0.00E+00</c:formatCode>
                <c:ptCount val="16"/>
                <c:pt idx="0">
                  <c:v>0.46743975999999998</c:v>
                </c:pt>
                <c:pt idx="1">
                  <c:v>2.9482320000000001E-9</c:v>
                </c:pt>
                <c:pt idx="2">
                  <c:v>2.6473440999999999E-3</c:v>
                </c:pt>
                <c:pt idx="3">
                  <c:v>1.4304668000000001E-3</c:v>
                </c:pt>
                <c:pt idx="4">
                  <c:v>3.3106159999999997E-8</c:v>
                </c:pt>
                <c:pt idx="5">
                  <c:v>4.6286671000000002E-9</c:v>
                </c:pt>
                <c:pt idx="6">
                  <c:v>9.4361763000000001E-11</c:v>
                </c:pt>
                <c:pt idx="7">
                  <c:v>2.4250872999999999E-3</c:v>
                </c:pt>
                <c:pt idx="8">
                  <c:v>9.8290618E-6</c:v>
                </c:pt>
                <c:pt idx="9">
                  <c:v>5.0193999000000002E-4</c:v>
                </c:pt>
                <c:pt idx="10">
                  <c:v>5.5223516999999998E-3</c:v>
                </c:pt>
                <c:pt idx="11">
                  <c:v>11.812315</c:v>
                </c:pt>
                <c:pt idx="12">
                  <c:v>0.88768413999999995</c:v>
                </c:pt>
                <c:pt idx="13">
                  <c:v>4.7817287999999999E-2</c:v>
                </c:pt>
                <c:pt idx="14">
                  <c:v>4.1205230000000004</c:v>
                </c:pt>
                <c:pt idx="15">
                  <c:v>6.0800213000000004E-7</c:v>
                </c:pt>
              </c:numCache>
            </c:numRef>
          </c:val>
          <c:extLst>
            <c:ext xmlns:c16="http://schemas.microsoft.com/office/drawing/2014/chart" uri="{C3380CC4-5D6E-409C-BE32-E72D297353CC}">
              <c16:uniqueId val="{00000007-3319-4C1D-B103-DE15AE3E2A58}"/>
            </c:ext>
          </c:extLst>
        </c:ser>
        <c:dLbls>
          <c:showLegendKey val="0"/>
          <c:showVal val="0"/>
          <c:showCatName val="0"/>
          <c:showSerName val="0"/>
          <c:showPercent val="0"/>
          <c:showBubbleSize val="0"/>
        </c:dLbls>
        <c:gapWidth val="150"/>
        <c:overlap val="100"/>
        <c:axId val="422677600"/>
        <c:axId val="422677928"/>
      </c:barChart>
      <c:catAx>
        <c:axId val="42267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677928"/>
        <c:crosses val="autoZero"/>
        <c:auto val="1"/>
        <c:lblAlgn val="ctr"/>
        <c:lblOffset val="100"/>
        <c:noMultiLvlLbl val="0"/>
      </c:catAx>
      <c:valAx>
        <c:axId val="4226779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677600"/>
        <c:crosses val="autoZero"/>
        <c:crossBetween val="between"/>
      </c:valAx>
      <c:spPr>
        <a:noFill/>
        <a:ln>
          <a:noFill/>
        </a:ln>
        <a:effectLst/>
      </c:spPr>
    </c:plotArea>
    <c:legend>
      <c:legendPos val="b"/>
      <c:layout>
        <c:manualLayout>
          <c:xMode val="edge"/>
          <c:yMode val="edge"/>
          <c:x val="1.6421116155810395E-2"/>
          <c:y val="0.85421930806105972"/>
          <c:w val="0.95563513245003495"/>
          <c:h val="0.133195479563481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55420207435949E-2"/>
          <c:y val="7.7797587834294704E-2"/>
          <c:w val="0.92433879969395671"/>
          <c:h val="0.49723117069726536"/>
        </c:manualLayout>
      </c:layout>
      <c:barChart>
        <c:barDir val="col"/>
        <c:grouping val="percentStacked"/>
        <c:varyColors val="0"/>
        <c:ser>
          <c:idx val="0"/>
          <c:order val="0"/>
          <c:tx>
            <c:strRef>
              <c:f>contribution_cathode!$D$27</c:f>
              <c:strCache>
                <c:ptCount val="1"/>
                <c:pt idx="0">
                  <c:v>NMC811 cathode</c:v>
                </c:pt>
              </c:strCache>
            </c:strRef>
          </c:tx>
          <c:spPr>
            <a:solidFill>
              <a:schemeClr val="accent1"/>
            </a:solidFill>
            <a:ln>
              <a:noFill/>
            </a:ln>
            <a:effectLst/>
          </c:spPr>
          <c:invertIfNegative val="0"/>
          <c:cat>
            <c:strRef>
              <c:f>contribution_cathode!$A$28:$A$43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contribution_cathode!$D$28:$D$43</c:f>
              <c:numCache>
                <c:formatCode>0.00E+00</c:formatCode>
                <c:ptCount val="16"/>
                <c:pt idx="0">
                  <c:v>0</c:v>
                </c:pt>
                <c:pt idx="1">
                  <c:v>0</c:v>
                </c:pt>
                <c:pt idx="2">
                  <c:v>0</c:v>
                </c:pt>
                <c:pt idx="3">
                  <c:v>0</c:v>
                </c:pt>
                <c:pt idx="4">
                  <c:v>0</c:v>
                </c:pt>
                <c:pt idx="5">
                  <c:v>1.180312E-10</c:v>
                </c:pt>
                <c:pt idx="6">
                  <c:v>4.4315040000000001E-11</c:v>
                </c:pt>
                <c:pt idx="7">
                  <c:v>0</c:v>
                </c:pt>
                <c:pt idx="8">
                  <c:v>0</c:v>
                </c:pt>
                <c:pt idx="9">
                  <c:v>0</c:v>
                </c:pt>
                <c:pt idx="10">
                  <c:v>0</c:v>
                </c:pt>
                <c:pt idx="11">
                  <c:v>4.5621519999999999E-2</c:v>
                </c:pt>
                <c:pt idx="12">
                  <c:v>0</c:v>
                </c:pt>
                <c:pt idx="13">
                  <c:v>0</c:v>
                </c:pt>
                <c:pt idx="14">
                  <c:v>0</c:v>
                </c:pt>
                <c:pt idx="15">
                  <c:v>0</c:v>
                </c:pt>
              </c:numCache>
            </c:numRef>
          </c:val>
          <c:extLst>
            <c:ext xmlns:c16="http://schemas.microsoft.com/office/drawing/2014/chart" uri="{C3380CC4-5D6E-409C-BE32-E72D297353CC}">
              <c16:uniqueId val="{00000000-142D-467C-8B44-CF669DE36891}"/>
            </c:ext>
          </c:extLst>
        </c:ser>
        <c:ser>
          <c:idx val="1"/>
          <c:order val="1"/>
          <c:tx>
            <c:strRef>
              <c:f>contribution_cathode!$E$27</c:f>
              <c:strCache>
                <c:ptCount val="1"/>
                <c:pt idx="0">
                  <c:v>NMC811 oxide</c:v>
                </c:pt>
              </c:strCache>
            </c:strRef>
          </c:tx>
          <c:spPr>
            <a:solidFill>
              <a:schemeClr val="accent2"/>
            </a:solidFill>
            <a:ln>
              <a:noFill/>
            </a:ln>
            <a:effectLst/>
          </c:spPr>
          <c:invertIfNegative val="0"/>
          <c:cat>
            <c:strRef>
              <c:f>contribution_cathode!$A$28:$A$43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contribution_cathode!$E$28:$E$43</c:f>
              <c:numCache>
                <c:formatCode>0.00E+00</c:formatCode>
                <c:ptCount val="16"/>
                <c:pt idx="0">
                  <c:v>20.511377</c:v>
                </c:pt>
                <c:pt idx="1">
                  <c:v>1.7055245E-6</c:v>
                </c:pt>
                <c:pt idx="2">
                  <c:v>0.48391353999999998</c:v>
                </c:pt>
                <c:pt idx="3">
                  <c:v>0.20346864000000001</c:v>
                </c:pt>
                <c:pt idx="4">
                  <c:v>5.6220876999999998E-6</c:v>
                </c:pt>
                <c:pt idx="5">
                  <c:v>5.0087445000000001E-7</c:v>
                </c:pt>
                <c:pt idx="6">
                  <c:v>2.8566630999999998E-8</c:v>
                </c:pt>
                <c:pt idx="7">
                  <c:v>1.8109923999999999</c:v>
                </c:pt>
                <c:pt idx="8">
                  <c:v>1.1118104999999999E-3</c:v>
                </c:pt>
                <c:pt idx="9">
                  <c:v>3.4344245000000002E-2</c:v>
                </c:pt>
                <c:pt idx="10">
                  <c:v>0.51039327000000001</c:v>
                </c:pt>
                <c:pt idx="11">
                  <c:v>3077.2388000000001</c:v>
                </c:pt>
                <c:pt idx="12">
                  <c:v>101.60952</c:v>
                </c:pt>
                <c:pt idx="13">
                  <c:v>6.7239167000000002</c:v>
                </c:pt>
                <c:pt idx="14">
                  <c:v>219.85006999999999</c:v>
                </c:pt>
                <c:pt idx="15">
                  <c:v>1.427455E-3</c:v>
                </c:pt>
              </c:numCache>
            </c:numRef>
          </c:val>
          <c:extLst>
            <c:ext xmlns:c16="http://schemas.microsoft.com/office/drawing/2014/chart" uri="{C3380CC4-5D6E-409C-BE32-E72D297353CC}">
              <c16:uniqueId val="{00000008-142D-467C-8B44-CF669DE36891}"/>
            </c:ext>
          </c:extLst>
        </c:ser>
        <c:ser>
          <c:idx val="2"/>
          <c:order val="2"/>
          <c:tx>
            <c:strRef>
              <c:f>contribution_cathode!$F$27</c:f>
              <c:strCache>
                <c:ptCount val="1"/>
                <c:pt idx="0">
                  <c:v>Carbon black {GLO}| market for | Cut-off, U</c:v>
                </c:pt>
              </c:strCache>
            </c:strRef>
          </c:tx>
          <c:spPr>
            <a:solidFill>
              <a:schemeClr val="accent3"/>
            </a:solidFill>
            <a:ln>
              <a:noFill/>
            </a:ln>
            <a:effectLst/>
          </c:spPr>
          <c:invertIfNegative val="0"/>
          <c:cat>
            <c:strRef>
              <c:f>contribution_cathode!$A$28:$A$43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contribution_cathode!$F$28:$F$43</c:f>
              <c:numCache>
                <c:formatCode>0.00E+00</c:formatCode>
                <c:ptCount val="16"/>
                <c:pt idx="0">
                  <c:v>0.46856040999999998</c:v>
                </c:pt>
                <c:pt idx="1">
                  <c:v>3.0526640999999998E-7</c:v>
                </c:pt>
                <c:pt idx="2">
                  <c:v>8.2295821000000005E-2</c:v>
                </c:pt>
                <c:pt idx="3">
                  <c:v>1.49281E-3</c:v>
                </c:pt>
                <c:pt idx="4">
                  <c:v>7.1741491000000001E-8</c:v>
                </c:pt>
                <c:pt idx="5">
                  <c:v>3.7067586000000001E-9</c:v>
                </c:pt>
                <c:pt idx="6">
                  <c:v>1.0844703E-10</c:v>
                </c:pt>
                <c:pt idx="7">
                  <c:v>3.0850120999999999E-3</c:v>
                </c:pt>
                <c:pt idx="8">
                  <c:v>3.1316607000000002E-6</c:v>
                </c:pt>
                <c:pt idx="9">
                  <c:v>3.7866396000000002E-4</c:v>
                </c:pt>
                <c:pt idx="10">
                  <c:v>4.2031263999999999E-3</c:v>
                </c:pt>
                <c:pt idx="11">
                  <c:v>10.647409</c:v>
                </c:pt>
                <c:pt idx="12">
                  <c:v>2.4906391999999999</c:v>
                </c:pt>
                <c:pt idx="13">
                  <c:v>1.8536929000000001E-2</c:v>
                </c:pt>
                <c:pt idx="14">
                  <c:v>19.016158000000001</c:v>
                </c:pt>
                <c:pt idx="15">
                  <c:v>4.6813858999999999E-6</c:v>
                </c:pt>
              </c:numCache>
            </c:numRef>
          </c:val>
          <c:extLst>
            <c:ext xmlns:c16="http://schemas.microsoft.com/office/drawing/2014/chart" uri="{C3380CC4-5D6E-409C-BE32-E72D297353CC}">
              <c16:uniqueId val="{00000009-142D-467C-8B44-CF669DE36891}"/>
            </c:ext>
          </c:extLst>
        </c:ser>
        <c:ser>
          <c:idx val="3"/>
          <c:order val="3"/>
          <c:tx>
            <c:strRef>
              <c:f>contribution_cathode!$G$27</c:f>
              <c:strCache>
                <c:ptCount val="1"/>
                <c:pt idx="0">
                  <c:v>Polyvinylfluoride {GLO}| market for | Cut-off, U</c:v>
                </c:pt>
              </c:strCache>
            </c:strRef>
          </c:tx>
          <c:spPr>
            <a:solidFill>
              <a:schemeClr val="accent4"/>
            </a:solidFill>
            <a:ln>
              <a:noFill/>
            </a:ln>
            <a:effectLst/>
          </c:spPr>
          <c:invertIfNegative val="0"/>
          <c:cat>
            <c:strRef>
              <c:f>contribution_cathode!$A$28:$A$43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contribution_cathode!$G$28:$G$43</c:f>
              <c:numCache>
                <c:formatCode>0.00E+00</c:formatCode>
                <c:ptCount val="16"/>
                <c:pt idx="0">
                  <c:v>3.9935209999999999</c:v>
                </c:pt>
                <c:pt idx="1">
                  <c:v>2.14107E-7</c:v>
                </c:pt>
                <c:pt idx="2">
                  <c:v>0.14460228999999999</c:v>
                </c:pt>
                <c:pt idx="3">
                  <c:v>7.0252125E-3</c:v>
                </c:pt>
                <c:pt idx="4">
                  <c:v>1.0386940999999999E-7</c:v>
                </c:pt>
                <c:pt idx="5">
                  <c:v>2.9119074000000001E-8</c:v>
                </c:pt>
                <c:pt idx="6">
                  <c:v>9.0396141000000002E-10</c:v>
                </c:pt>
                <c:pt idx="7">
                  <c:v>1.6237631999999998E-2</c:v>
                </c:pt>
                <c:pt idx="8">
                  <c:v>1.2466627000000001E-4</c:v>
                </c:pt>
                <c:pt idx="9">
                  <c:v>2.0946545999999998E-3</c:v>
                </c:pt>
                <c:pt idx="10">
                  <c:v>2.3881988999999999E-2</c:v>
                </c:pt>
                <c:pt idx="11">
                  <c:v>43.667865999999997</c:v>
                </c:pt>
                <c:pt idx="12">
                  <c:v>7.0418314999999998</c:v>
                </c:pt>
                <c:pt idx="13">
                  <c:v>1.374393</c:v>
                </c:pt>
                <c:pt idx="14">
                  <c:v>39.712266</c:v>
                </c:pt>
                <c:pt idx="15">
                  <c:v>1.4009391000000001E-4</c:v>
                </c:pt>
              </c:numCache>
            </c:numRef>
          </c:val>
          <c:extLst>
            <c:ext xmlns:c16="http://schemas.microsoft.com/office/drawing/2014/chart" uri="{C3380CC4-5D6E-409C-BE32-E72D297353CC}">
              <c16:uniqueId val="{0000000A-142D-467C-8B44-CF669DE36891}"/>
            </c:ext>
          </c:extLst>
        </c:ser>
        <c:ser>
          <c:idx val="4"/>
          <c:order val="4"/>
          <c:tx>
            <c:strRef>
              <c:f>contribution_cathode!$H$27</c:f>
              <c:strCache>
                <c:ptCount val="1"/>
                <c:pt idx="0">
                  <c:v>N-methyl-2-pyrrolidone {GLO}| market for | Cut-off, U</c:v>
                </c:pt>
              </c:strCache>
            </c:strRef>
          </c:tx>
          <c:spPr>
            <a:solidFill>
              <a:schemeClr val="accent5"/>
            </a:solidFill>
            <a:ln>
              <a:noFill/>
            </a:ln>
            <a:effectLst/>
          </c:spPr>
          <c:invertIfNegative val="0"/>
          <c:cat>
            <c:strRef>
              <c:f>contribution_cathode!$A$28:$A$43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contribution_cathode!$H$28:$H$43</c:f>
              <c:numCache>
                <c:formatCode>0.00E+00</c:formatCode>
                <c:ptCount val="16"/>
                <c:pt idx="0">
                  <c:v>3.6011224000000001E-2</c:v>
                </c:pt>
                <c:pt idx="1">
                  <c:v>3.5081328E-9</c:v>
                </c:pt>
                <c:pt idx="2">
                  <c:v>1.2924722000000001E-3</c:v>
                </c:pt>
                <c:pt idx="3">
                  <c:v>1.0877561E-4</c:v>
                </c:pt>
                <c:pt idx="4">
                  <c:v>1.6659034000000001E-9</c:v>
                </c:pt>
                <c:pt idx="5">
                  <c:v>4.0778199999999998E-10</c:v>
                </c:pt>
                <c:pt idx="6">
                  <c:v>2.3006681E-11</c:v>
                </c:pt>
                <c:pt idx="7">
                  <c:v>1.9405434000000001E-4</c:v>
                </c:pt>
                <c:pt idx="8">
                  <c:v>1.3761181000000001E-6</c:v>
                </c:pt>
                <c:pt idx="9">
                  <c:v>3.3116001000000002E-5</c:v>
                </c:pt>
                <c:pt idx="10">
                  <c:v>3.5698929999999999E-4</c:v>
                </c:pt>
                <c:pt idx="11">
                  <c:v>0.76031974999999996</c:v>
                </c:pt>
                <c:pt idx="12">
                  <c:v>0.12458341000000001</c:v>
                </c:pt>
                <c:pt idx="13">
                  <c:v>6.3443956999999995E-2</c:v>
                </c:pt>
                <c:pt idx="14">
                  <c:v>0.59014294</c:v>
                </c:pt>
                <c:pt idx="15">
                  <c:v>4.9084977000000004E-7</c:v>
                </c:pt>
              </c:numCache>
            </c:numRef>
          </c:val>
          <c:extLst>
            <c:ext xmlns:c16="http://schemas.microsoft.com/office/drawing/2014/chart" uri="{C3380CC4-5D6E-409C-BE32-E72D297353CC}">
              <c16:uniqueId val="{0000000B-142D-467C-8B44-CF669DE36891}"/>
            </c:ext>
          </c:extLst>
        </c:ser>
        <c:ser>
          <c:idx val="5"/>
          <c:order val="5"/>
          <c:tx>
            <c:strRef>
              <c:f>contribution_cathode!$I$27</c:f>
              <c:strCache>
                <c:ptCount val="1"/>
                <c:pt idx="0">
                  <c:v>Chemical factory, organics {GLO}| market for | Cut-off, U</c:v>
                </c:pt>
              </c:strCache>
            </c:strRef>
          </c:tx>
          <c:spPr>
            <a:solidFill>
              <a:schemeClr val="accent6"/>
            </a:solidFill>
            <a:ln>
              <a:noFill/>
            </a:ln>
            <a:effectLst/>
          </c:spPr>
          <c:invertIfNegative val="0"/>
          <c:cat>
            <c:strRef>
              <c:f>contribution_cathode!$A$28:$A$43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contribution_cathode!$I$28:$I$43</c:f>
              <c:numCache>
                <c:formatCode>0.00E+00</c:formatCode>
                <c:ptCount val="16"/>
                <c:pt idx="0">
                  <c:v>5.9828266999999997E-2</c:v>
                </c:pt>
                <c:pt idx="1">
                  <c:v>3.8261005999999996E-9</c:v>
                </c:pt>
                <c:pt idx="2">
                  <c:v>2.9145620999999999E-3</c:v>
                </c:pt>
                <c:pt idx="3">
                  <c:v>2.6936385999999998E-4</c:v>
                </c:pt>
                <c:pt idx="4">
                  <c:v>4.5565934000000001E-9</c:v>
                </c:pt>
                <c:pt idx="5">
                  <c:v>6.1115889E-9</c:v>
                </c:pt>
                <c:pt idx="6">
                  <c:v>2.2773698E-10</c:v>
                </c:pt>
                <c:pt idx="7">
                  <c:v>7.2446816000000004E-4</c:v>
                </c:pt>
                <c:pt idx="8">
                  <c:v>6.9164808000000004E-6</c:v>
                </c:pt>
                <c:pt idx="9">
                  <c:v>7.6075858000000006E-5</c:v>
                </c:pt>
                <c:pt idx="10">
                  <c:v>9.6792598E-4</c:v>
                </c:pt>
                <c:pt idx="11">
                  <c:v>5.6277007000000001</c:v>
                </c:pt>
                <c:pt idx="12">
                  <c:v>0.99396057999999998</c:v>
                </c:pt>
                <c:pt idx="13">
                  <c:v>1.5737735999999999E-2</c:v>
                </c:pt>
                <c:pt idx="14">
                  <c:v>0.71770858999999998</c:v>
                </c:pt>
                <c:pt idx="15">
                  <c:v>1.6292863E-5</c:v>
                </c:pt>
              </c:numCache>
            </c:numRef>
          </c:val>
          <c:extLst>
            <c:ext xmlns:c16="http://schemas.microsoft.com/office/drawing/2014/chart" uri="{C3380CC4-5D6E-409C-BE32-E72D297353CC}">
              <c16:uniqueId val="{0000000C-142D-467C-8B44-CF669DE36891}"/>
            </c:ext>
          </c:extLst>
        </c:ser>
        <c:ser>
          <c:idx val="6"/>
          <c:order val="6"/>
          <c:tx>
            <c:strRef>
              <c:f>contribution_cathode!$J$27</c:f>
              <c:strCache>
                <c:ptCount val="1"/>
                <c:pt idx="0">
                  <c:v>Heat, district or industrial, natural gas {GLO}| market group for | Cut-off, U</c:v>
                </c:pt>
              </c:strCache>
            </c:strRef>
          </c:tx>
          <c:spPr>
            <a:solidFill>
              <a:schemeClr val="accent1">
                <a:lumMod val="60000"/>
              </a:schemeClr>
            </a:solidFill>
            <a:ln>
              <a:noFill/>
            </a:ln>
            <a:effectLst/>
          </c:spPr>
          <c:invertIfNegative val="0"/>
          <c:cat>
            <c:strRef>
              <c:f>contribution_cathode!$A$28:$A$43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contribution_cathode!$J$28:$J$43</c:f>
              <c:numCache>
                <c:formatCode>0.00E+00</c:formatCode>
                <c:ptCount val="16"/>
                <c:pt idx="0">
                  <c:v>1.1836924</c:v>
                </c:pt>
                <c:pt idx="1">
                  <c:v>1.4434107E-7</c:v>
                </c:pt>
                <c:pt idx="2">
                  <c:v>3.8663255000000001E-3</c:v>
                </c:pt>
                <c:pt idx="3">
                  <c:v>1.5744106E-3</c:v>
                </c:pt>
                <c:pt idx="4">
                  <c:v>4.7621487000000001E-9</c:v>
                </c:pt>
                <c:pt idx="5">
                  <c:v>2.4812365000000001E-9</c:v>
                </c:pt>
                <c:pt idx="6">
                  <c:v>1.0074918000000001E-10</c:v>
                </c:pt>
                <c:pt idx="7">
                  <c:v>1.6245007000000001E-3</c:v>
                </c:pt>
                <c:pt idx="8">
                  <c:v>1.738808E-6</c:v>
                </c:pt>
                <c:pt idx="9">
                  <c:v>3.9471754000000001E-4</c:v>
                </c:pt>
                <c:pt idx="10">
                  <c:v>4.3175632999999996E-3</c:v>
                </c:pt>
                <c:pt idx="11">
                  <c:v>3.6114326999999999</c:v>
                </c:pt>
                <c:pt idx="12">
                  <c:v>0.59809721000000005</c:v>
                </c:pt>
                <c:pt idx="13">
                  <c:v>3.5400984000000003E-2</c:v>
                </c:pt>
                <c:pt idx="14">
                  <c:v>18.44998</c:v>
                </c:pt>
                <c:pt idx="15">
                  <c:v>5.6045621000000005E-7</c:v>
                </c:pt>
              </c:numCache>
            </c:numRef>
          </c:val>
          <c:extLst>
            <c:ext xmlns:c16="http://schemas.microsoft.com/office/drawing/2014/chart" uri="{C3380CC4-5D6E-409C-BE32-E72D297353CC}">
              <c16:uniqueId val="{0000000D-142D-467C-8B44-CF669DE36891}"/>
            </c:ext>
          </c:extLst>
        </c:ser>
        <c:ser>
          <c:idx val="7"/>
          <c:order val="7"/>
          <c:tx>
            <c:strRef>
              <c:f>contribution_cathode!$K$27</c:f>
              <c:strCache>
                <c:ptCount val="1"/>
                <c:pt idx="0">
                  <c:v>Electricity, medium voltage {CN}| market group for | Cut-off, U</c:v>
                </c:pt>
              </c:strCache>
            </c:strRef>
          </c:tx>
          <c:spPr>
            <a:solidFill>
              <a:schemeClr val="accent2">
                <a:lumMod val="60000"/>
              </a:schemeClr>
            </a:solidFill>
            <a:ln>
              <a:noFill/>
            </a:ln>
            <a:effectLst/>
          </c:spPr>
          <c:invertIfNegative val="0"/>
          <c:cat>
            <c:strRef>
              <c:f>contribution_cathode!$A$28:$A$43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contribution_cathode!$K$28:$K$43</c:f>
              <c:numCache>
                <c:formatCode>0.00E+00</c:formatCode>
                <c:ptCount val="16"/>
                <c:pt idx="0">
                  <c:v>0.49672388000000001</c:v>
                </c:pt>
                <c:pt idx="1">
                  <c:v>3.1329325999999999E-9</c:v>
                </c:pt>
                <c:pt idx="2">
                  <c:v>2.8131946E-3</c:v>
                </c:pt>
                <c:pt idx="3">
                  <c:v>1.5200826000000001E-3</c:v>
                </c:pt>
                <c:pt idx="4">
                  <c:v>3.5180192000000003E-8</c:v>
                </c:pt>
                <c:pt idx="5">
                  <c:v>4.9186434999999998E-9</c:v>
                </c:pt>
                <c:pt idx="6">
                  <c:v>1.0027333E-10</c:v>
                </c:pt>
                <c:pt idx="7">
                  <c:v>2.5770139999999999E-3</c:v>
                </c:pt>
                <c:pt idx="8">
                  <c:v>1.0444832E-5</c:v>
                </c:pt>
                <c:pt idx="9">
                  <c:v>5.3338547999999997E-4</c:v>
                </c:pt>
                <c:pt idx="10">
                  <c:v>5.8683155000000004E-3</c:v>
                </c:pt>
                <c:pt idx="11">
                  <c:v>12.552332</c:v>
                </c:pt>
                <c:pt idx="12">
                  <c:v>0.94329569999999996</c:v>
                </c:pt>
                <c:pt idx="13">
                  <c:v>5.0812941E-2</c:v>
                </c:pt>
                <c:pt idx="14">
                  <c:v>4.3786652000000004</c:v>
                </c:pt>
                <c:pt idx="15">
                  <c:v>6.4609218999999999E-7</c:v>
                </c:pt>
              </c:numCache>
            </c:numRef>
          </c:val>
          <c:extLst>
            <c:ext xmlns:c16="http://schemas.microsoft.com/office/drawing/2014/chart" uri="{C3380CC4-5D6E-409C-BE32-E72D297353CC}">
              <c16:uniqueId val="{0000000E-142D-467C-8B44-CF669DE36891}"/>
            </c:ext>
          </c:extLst>
        </c:ser>
        <c:dLbls>
          <c:showLegendKey val="0"/>
          <c:showVal val="0"/>
          <c:showCatName val="0"/>
          <c:showSerName val="0"/>
          <c:showPercent val="0"/>
          <c:showBubbleSize val="0"/>
        </c:dLbls>
        <c:gapWidth val="150"/>
        <c:overlap val="100"/>
        <c:axId val="422677600"/>
        <c:axId val="422677928"/>
      </c:barChart>
      <c:catAx>
        <c:axId val="42267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677928"/>
        <c:crosses val="autoZero"/>
        <c:auto val="1"/>
        <c:lblAlgn val="ctr"/>
        <c:lblOffset val="100"/>
        <c:noMultiLvlLbl val="0"/>
      </c:catAx>
      <c:valAx>
        <c:axId val="4226779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677600"/>
        <c:crosses val="autoZero"/>
        <c:crossBetween val="between"/>
      </c:valAx>
      <c:spPr>
        <a:noFill/>
        <a:ln>
          <a:noFill/>
        </a:ln>
        <a:effectLst/>
      </c:spPr>
    </c:plotArea>
    <c:legend>
      <c:legendPos val="b"/>
      <c:layout>
        <c:manualLayout>
          <c:xMode val="edge"/>
          <c:yMode val="edge"/>
          <c:x val="1.6421116155810395E-2"/>
          <c:y val="0.85385857511758467"/>
          <c:w val="0.97129751433347489"/>
          <c:h val="0.143158946823590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55420207435949E-2"/>
          <c:y val="7.7797587834294704E-2"/>
          <c:w val="0.92433879969395671"/>
          <c:h val="0.49723117069726536"/>
        </c:manualLayout>
      </c:layout>
      <c:barChart>
        <c:barDir val="col"/>
        <c:grouping val="percentStacked"/>
        <c:varyColors val="0"/>
        <c:ser>
          <c:idx val="0"/>
          <c:order val="0"/>
          <c:tx>
            <c:strRef>
              <c:f>contribution_cathode!$D$47</c:f>
              <c:strCache>
                <c:ptCount val="1"/>
                <c:pt idx="0">
                  <c:v>NCA cathode</c:v>
                </c:pt>
              </c:strCache>
            </c:strRef>
          </c:tx>
          <c:spPr>
            <a:solidFill>
              <a:schemeClr val="accent1"/>
            </a:solidFill>
            <a:ln>
              <a:noFill/>
            </a:ln>
            <a:effectLst/>
          </c:spPr>
          <c:invertIfNegative val="0"/>
          <c:cat>
            <c:strRef>
              <c:f>contribution_cathode!$A$48:$A$63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contribution_cathode!$D$48:$D$63</c:f>
              <c:numCache>
                <c:formatCode>0.00E+00</c:formatCode>
                <c:ptCount val="16"/>
                <c:pt idx="0">
                  <c:v>0</c:v>
                </c:pt>
                <c:pt idx="1">
                  <c:v>0</c:v>
                </c:pt>
                <c:pt idx="2">
                  <c:v>0</c:v>
                </c:pt>
                <c:pt idx="3">
                  <c:v>0</c:v>
                </c:pt>
                <c:pt idx="4">
                  <c:v>0</c:v>
                </c:pt>
                <c:pt idx="5">
                  <c:v>1.180312E-10</c:v>
                </c:pt>
                <c:pt idx="6">
                  <c:v>4.4315040000000001E-11</c:v>
                </c:pt>
                <c:pt idx="7">
                  <c:v>0</c:v>
                </c:pt>
                <c:pt idx="8">
                  <c:v>0</c:v>
                </c:pt>
                <c:pt idx="9">
                  <c:v>0</c:v>
                </c:pt>
                <c:pt idx="10">
                  <c:v>0</c:v>
                </c:pt>
                <c:pt idx="11">
                  <c:v>4.5621519999999999E-2</c:v>
                </c:pt>
                <c:pt idx="12">
                  <c:v>0</c:v>
                </c:pt>
                <c:pt idx="13">
                  <c:v>0</c:v>
                </c:pt>
                <c:pt idx="14">
                  <c:v>0</c:v>
                </c:pt>
                <c:pt idx="15">
                  <c:v>0</c:v>
                </c:pt>
              </c:numCache>
            </c:numRef>
          </c:val>
          <c:extLst>
            <c:ext xmlns:c16="http://schemas.microsoft.com/office/drawing/2014/chart" uri="{C3380CC4-5D6E-409C-BE32-E72D297353CC}">
              <c16:uniqueId val="{00000000-B547-4A53-B2BE-4A456083FC38}"/>
            </c:ext>
          </c:extLst>
        </c:ser>
        <c:ser>
          <c:idx val="1"/>
          <c:order val="1"/>
          <c:tx>
            <c:strRef>
              <c:f>contribution_cathode!$E$47</c:f>
              <c:strCache>
                <c:ptCount val="1"/>
                <c:pt idx="0">
                  <c:v>NCA oxide</c:v>
                </c:pt>
              </c:strCache>
            </c:strRef>
          </c:tx>
          <c:spPr>
            <a:solidFill>
              <a:schemeClr val="accent2"/>
            </a:solidFill>
            <a:ln>
              <a:noFill/>
            </a:ln>
            <a:effectLst/>
          </c:spPr>
          <c:invertIfNegative val="0"/>
          <c:cat>
            <c:strRef>
              <c:f>contribution_cathode!$A$48:$A$63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contribution_cathode!$E$48:$E$63</c:f>
              <c:numCache>
                <c:formatCode>0.00E+00</c:formatCode>
                <c:ptCount val="16"/>
                <c:pt idx="0">
                  <c:v>21.385563999999999</c:v>
                </c:pt>
                <c:pt idx="1">
                  <c:v>1.7979916999999999E-6</c:v>
                </c:pt>
                <c:pt idx="2">
                  <c:v>0.50504499000000003</c:v>
                </c:pt>
                <c:pt idx="3">
                  <c:v>0.21009174999999999</c:v>
                </c:pt>
                <c:pt idx="4">
                  <c:v>7.4103747000000004E-6</c:v>
                </c:pt>
                <c:pt idx="5">
                  <c:v>5.2104400999999995E-7</c:v>
                </c:pt>
                <c:pt idx="6">
                  <c:v>2.9459199E-8</c:v>
                </c:pt>
                <c:pt idx="7">
                  <c:v>1.8732404</c:v>
                </c:pt>
                <c:pt idx="8">
                  <c:v>1.1351200999999999E-3</c:v>
                </c:pt>
                <c:pt idx="9">
                  <c:v>3.6971879999999999E-2</c:v>
                </c:pt>
                <c:pt idx="10">
                  <c:v>0.67607470000000003</c:v>
                </c:pt>
                <c:pt idx="11">
                  <c:v>3134.4214000000002</c:v>
                </c:pt>
                <c:pt idx="12">
                  <c:v>103.70095999999999</c:v>
                </c:pt>
                <c:pt idx="13">
                  <c:v>7.3254611000000001</c:v>
                </c:pt>
                <c:pt idx="14">
                  <c:v>227.65495999999999</c:v>
                </c:pt>
                <c:pt idx="15">
                  <c:v>1.4432208999999999E-3</c:v>
                </c:pt>
              </c:numCache>
            </c:numRef>
          </c:val>
          <c:extLst>
            <c:ext xmlns:c16="http://schemas.microsoft.com/office/drawing/2014/chart" uri="{C3380CC4-5D6E-409C-BE32-E72D297353CC}">
              <c16:uniqueId val="{00000008-B547-4A53-B2BE-4A456083FC38}"/>
            </c:ext>
          </c:extLst>
        </c:ser>
        <c:ser>
          <c:idx val="2"/>
          <c:order val="2"/>
          <c:tx>
            <c:strRef>
              <c:f>contribution_cathode!$F$47</c:f>
              <c:strCache>
                <c:ptCount val="1"/>
                <c:pt idx="0">
                  <c:v>Carbon black {GLO}| market for | Cut-off, U</c:v>
                </c:pt>
              </c:strCache>
            </c:strRef>
          </c:tx>
          <c:spPr>
            <a:solidFill>
              <a:schemeClr val="accent3"/>
            </a:solidFill>
            <a:ln>
              <a:noFill/>
            </a:ln>
            <a:effectLst/>
          </c:spPr>
          <c:invertIfNegative val="0"/>
          <c:cat>
            <c:strRef>
              <c:f>contribution_cathode!$A$48:$A$63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contribution_cathode!$F$48:$F$63</c:f>
              <c:numCache>
                <c:formatCode>0.00E+00</c:formatCode>
                <c:ptCount val="16"/>
                <c:pt idx="0">
                  <c:v>0.46856040999999998</c:v>
                </c:pt>
                <c:pt idx="1">
                  <c:v>3.0526640999999998E-7</c:v>
                </c:pt>
                <c:pt idx="2">
                  <c:v>8.2295821000000005E-2</c:v>
                </c:pt>
                <c:pt idx="3">
                  <c:v>1.49281E-3</c:v>
                </c:pt>
                <c:pt idx="4">
                  <c:v>7.1741491000000001E-8</c:v>
                </c:pt>
                <c:pt idx="5">
                  <c:v>3.7067586000000001E-9</c:v>
                </c:pt>
                <c:pt idx="6">
                  <c:v>1.0844703E-10</c:v>
                </c:pt>
                <c:pt idx="7">
                  <c:v>3.0850120999999999E-3</c:v>
                </c:pt>
                <c:pt idx="8">
                  <c:v>3.1316607000000002E-6</c:v>
                </c:pt>
                <c:pt idx="9">
                  <c:v>3.7866396000000002E-4</c:v>
                </c:pt>
                <c:pt idx="10">
                  <c:v>4.2031263999999999E-3</c:v>
                </c:pt>
                <c:pt idx="11">
                  <c:v>10.647409</c:v>
                </c:pt>
                <c:pt idx="12">
                  <c:v>2.4906391999999999</c:v>
                </c:pt>
                <c:pt idx="13">
                  <c:v>1.8536929000000001E-2</c:v>
                </c:pt>
                <c:pt idx="14">
                  <c:v>19.016158000000001</c:v>
                </c:pt>
                <c:pt idx="15">
                  <c:v>4.6813858999999999E-6</c:v>
                </c:pt>
              </c:numCache>
            </c:numRef>
          </c:val>
          <c:extLst>
            <c:ext xmlns:c16="http://schemas.microsoft.com/office/drawing/2014/chart" uri="{C3380CC4-5D6E-409C-BE32-E72D297353CC}">
              <c16:uniqueId val="{00000009-B547-4A53-B2BE-4A456083FC38}"/>
            </c:ext>
          </c:extLst>
        </c:ser>
        <c:ser>
          <c:idx val="3"/>
          <c:order val="3"/>
          <c:tx>
            <c:strRef>
              <c:f>contribution_cathode!$G$47</c:f>
              <c:strCache>
                <c:ptCount val="1"/>
                <c:pt idx="0">
                  <c:v>Polyvinylfluoride {GLO}| market for | Cut-off, U</c:v>
                </c:pt>
              </c:strCache>
            </c:strRef>
          </c:tx>
          <c:spPr>
            <a:solidFill>
              <a:schemeClr val="accent4"/>
            </a:solidFill>
            <a:ln>
              <a:noFill/>
            </a:ln>
            <a:effectLst/>
          </c:spPr>
          <c:invertIfNegative val="0"/>
          <c:cat>
            <c:strRef>
              <c:f>contribution_cathode!$A$48:$A$63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contribution_cathode!$G$48:$G$63</c:f>
              <c:numCache>
                <c:formatCode>0.00E+00</c:formatCode>
                <c:ptCount val="16"/>
                <c:pt idx="0">
                  <c:v>3.9935209999999999</c:v>
                </c:pt>
                <c:pt idx="1">
                  <c:v>2.1410701000000001E-7</c:v>
                </c:pt>
                <c:pt idx="2">
                  <c:v>0.14460228999999999</c:v>
                </c:pt>
                <c:pt idx="3">
                  <c:v>7.0252125999999996E-3</c:v>
                </c:pt>
                <c:pt idx="4">
                  <c:v>1.0386940999999999E-7</c:v>
                </c:pt>
                <c:pt idx="5">
                  <c:v>2.9119075000000002E-8</c:v>
                </c:pt>
                <c:pt idx="6">
                  <c:v>9.0396141999999997E-10</c:v>
                </c:pt>
                <c:pt idx="7">
                  <c:v>1.6237631999999998E-2</c:v>
                </c:pt>
                <c:pt idx="8">
                  <c:v>1.2466627000000001E-4</c:v>
                </c:pt>
                <c:pt idx="9">
                  <c:v>2.0946545999999998E-3</c:v>
                </c:pt>
                <c:pt idx="10">
                  <c:v>2.3881988999999999E-2</c:v>
                </c:pt>
                <c:pt idx="11">
                  <c:v>43.667865999999997</c:v>
                </c:pt>
                <c:pt idx="12">
                  <c:v>7.0418314999999998</c:v>
                </c:pt>
                <c:pt idx="13">
                  <c:v>1.374393</c:v>
                </c:pt>
                <c:pt idx="14">
                  <c:v>39.712266</c:v>
                </c:pt>
                <c:pt idx="15">
                  <c:v>1.4009391000000001E-4</c:v>
                </c:pt>
              </c:numCache>
            </c:numRef>
          </c:val>
          <c:extLst>
            <c:ext xmlns:c16="http://schemas.microsoft.com/office/drawing/2014/chart" uri="{C3380CC4-5D6E-409C-BE32-E72D297353CC}">
              <c16:uniqueId val="{0000000A-B547-4A53-B2BE-4A456083FC38}"/>
            </c:ext>
          </c:extLst>
        </c:ser>
        <c:ser>
          <c:idx val="4"/>
          <c:order val="4"/>
          <c:tx>
            <c:strRef>
              <c:f>contribution_cathode!$H$47</c:f>
              <c:strCache>
                <c:ptCount val="1"/>
                <c:pt idx="0">
                  <c:v>N-methyl-2-pyrrolidone {GLO}| market for | Cut-off, U</c:v>
                </c:pt>
              </c:strCache>
            </c:strRef>
          </c:tx>
          <c:spPr>
            <a:solidFill>
              <a:schemeClr val="accent5"/>
            </a:solidFill>
            <a:ln>
              <a:noFill/>
            </a:ln>
            <a:effectLst/>
          </c:spPr>
          <c:invertIfNegative val="0"/>
          <c:cat>
            <c:strRef>
              <c:f>contribution_cathode!$A$48:$A$63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contribution_cathode!$H$48:$H$63</c:f>
              <c:numCache>
                <c:formatCode>0.00E+00</c:formatCode>
                <c:ptCount val="16"/>
                <c:pt idx="0">
                  <c:v>3.6011224000000001E-2</c:v>
                </c:pt>
                <c:pt idx="1">
                  <c:v>3.5081328E-9</c:v>
                </c:pt>
                <c:pt idx="2">
                  <c:v>1.2924722000000001E-3</c:v>
                </c:pt>
                <c:pt idx="3">
                  <c:v>1.0877561E-4</c:v>
                </c:pt>
                <c:pt idx="4">
                  <c:v>1.6659034000000001E-9</c:v>
                </c:pt>
                <c:pt idx="5">
                  <c:v>4.0778199999999998E-10</c:v>
                </c:pt>
                <c:pt idx="6">
                  <c:v>2.3006681E-11</c:v>
                </c:pt>
                <c:pt idx="7">
                  <c:v>1.9405434000000001E-4</c:v>
                </c:pt>
                <c:pt idx="8">
                  <c:v>1.3761181000000001E-6</c:v>
                </c:pt>
                <c:pt idx="9">
                  <c:v>3.3116001000000002E-5</c:v>
                </c:pt>
                <c:pt idx="10">
                  <c:v>3.5698929999999999E-4</c:v>
                </c:pt>
                <c:pt idx="11">
                  <c:v>0.76031974999999996</c:v>
                </c:pt>
                <c:pt idx="12">
                  <c:v>0.12458341000000001</c:v>
                </c:pt>
                <c:pt idx="13">
                  <c:v>6.3443957999999995E-2</c:v>
                </c:pt>
                <c:pt idx="14">
                  <c:v>0.59014295000000005</c:v>
                </c:pt>
                <c:pt idx="15">
                  <c:v>4.9084977000000004E-7</c:v>
                </c:pt>
              </c:numCache>
            </c:numRef>
          </c:val>
          <c:extLst>
            <c:ext xmlns:c16="http://schemas.microsoft.com/office/drawing/2014/chart" uri="{C3380CC4-5D6E-409C-BE32-E72D297353CC}">
              <c16:uniqueId val="{0000000B-B547-4A53-B2BE-4A456083FC38}"/>
            </c:ext>
          </c:extLst>
        </c:ser>
        <c:ser>
          <c:idx val="5"/>
          <c:order val="5"/>
          <c:tx>
            <c:strRef>
              <c:f>contribution_cathode!$I$47</c:f>
              <c:strCache>
                <c:ptCount val="1"/>
                <c:pt idx="0">
                  <c:v>Chemical factory, organics {GLO}| market for | Cut-off, U</c:v>
                </c:pt>
              </c:strCache>
            </c:strRef>
          </c:tx>
          <c:spPr>
            <a:solidFill>
              <a:schemeClr val="accent6"/>
            </a:solidFill>
            <a:ln>
              <a:noFill/>
            </a:ln>
            <a:effectLst/>
          </c:spPr>
          <c:invertIfNegative val="0"/>
          <c:cat>
            <c:strRef>
              <c:f>contribution_cathode!$A$48:$A$63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contribution_cathode!$I$48:$I$63</c:f>
              <c:numCache>
                <c:formatCode>0.00E+00</c:formatCode>
                <c:ptCount val="16"/>
                <c:pt idx="0">
                  <c:v>5.9828267999999997E-2</c:v>
                </c:pt>
                <c:pt idx="1">
                  <c:v>3.8261005999999996E-9</c:v>
                </c:pt>
                <c:pt idx="2">
                  <c:v>2.9145620999999999E-3</c:v>
                </c:pt>
                <c:pt idx="3">
                  <c:v>2.6936385999999998E-4</c:v>
                </c:pt>
                <c:pt idx="4">
                  <c:v>4.5565934000000001E-9</c:v>
                </c:pt>
                <c:pt idx="5">
                  <c:v>6.1115889E-9</c:v>
                </c:pt>
                <c:pt idx="6">
                  <c:v>2.2773698E-10</c:v>
                </c:pt>
                <c:pt idx="7">
                  <c:v>7.2446816000000004E-4</c:v>
                </c:pt>
                <c:pt idx="8">
                  <c:v>6.9164808000000004E-6</c:v>
                </c:pt>
                <c:pt idx="9">
                  <c:v>7.6075858000000006E-5</c:v>
                </c:pt>
                <c:pt idx="10">
                  <c:v>9.6792598999999996E-4</c:v>
                </c:pt>
                <c:pt idx="11">
                  <c:v>5.6277008000000004</c:v>
                </c:pt>
                <c:pt idx="12">
                  <c:v>0.99396057999999998</c:v>
                </c:pt>
                <c:pt idx="13">
                  <c:v>1.5737735999999999E-2</c:v>
                </c:pt>
                <c:pt idx="14">
                  <c:v>0.71770858999999998</c:v>
                </c:pt>
                <c:pt idx="15">
                  <c:v>1.6292863E-5</c:v>
                </c:pt>
              </c:numCache>
            </c:numRef>
          </c:val>
          <c:extLst>
            <c:ext xmlns:c16="http://schemas.microsoft.com/office/drawing/2014/chart" uri="{C3380CC4-5D6E-409C-BE32-E72D297353CC}">
              <c16:uniqueId val="{0000000C-B547-4A53-B2BE-4A456083FC38}"/>
            </c:ext>
          </c:extLst>
        </c:ser>
        <c:ser>
          <c:idx val="6"/>
          <c:order val="6"/>
          <c:tx>
            <c:strRef>
              <c:f>contribution_cathode!$J$47</c:f>
              <c:strCache>
                <c:ptCount val="1"/>
                <c:pt idx="0">
                  <c:v>Heat, district or industrial, natural gas {GLO}| market group for | Cut-off, U</c:v>
                </c:pt>
              </c:strCache>
            </c:strRef>
          </c:tx>
          <c:spPr>
            <a:solidFill>
              <a:schemeClr val="accent1">
                <a:lumMod val="60000"/>
              </a:schemeClr>
            </a:solidFill>
            <a:ln>
              <a:noFill/>
            </a:ln>
            <a:effectLst/>
          </c:spPr>
          <c:invertIfNegative val="0"/>
          <c:cat>
            <c:strRef>
              <c:f>contribution_cathode!$A$48:$A$63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contribution_cathode!$J$48:$J$63</c:f>
              <c:numCache>
                <c:formatCode>0.00E+00</c:formatCode>
                <c:ptCount val="16"/>
                <c:pt idx="0">
                  <c:v>1.1545745999999999</c:v>
                </c:pt>
                <c:pt idx="1">
                  <c:v>1.4079041000000001E-7</c:v>
                </c:pt>
                <c:pt idx="2">
                  <c:v>3.7712172E-3</c:v>
                </c:pt>
                <c:pt idx="3">
                  <c:v>1.5356814E-3</c:v>
                </c:pt>
                <c:pt idx="4">
                  <c:v>4.645004E-9</c:v>
                </c:pt>
                <c:pt idx="5">
                  <c:v>2.4202002E-9</c:v>
                </c:pt>
                <c:pt idx="6">
                  <c:v>9.8270836000000005E-11</c:v>
                </c:pt>
                <c:pt idx="7">
                  <c:v>1.5845394E-3</c:v>
                </c:pt>
                <c:pt idx="8">
                  <c:v>1.6960348999999999E-6</c:v>
                </c:pt>
                <c:pt idx="9">
                  <c:v>3.8500783000000003E-4</c:v>
                </c:pt>
                <c:pt idx="10">
                  <c:v>4.211355E-3</c:v>
                </c:pt>
                <c:pt idx="11">
                  <c:v>3.5225946000000001</c:v>
                </c:pt>
                <c:pt idx="12">
                  <c:v>0.58338453000000001</c:v>
                </c:pt>
                <c:pt idx="13">
                  <c:v>3.4530151000000002E-2</c:v>
                </c:pt>
                <c:pt idx="14">
                  <c:v>17.996127000000001</c:v>
                </c:pt>
                <c:pt idx="15">
                  <c:v>5.4666946999999999E-7</c:v>
                </c:pt>
              </c:numCache>
            </c:numRef>
          </c:val>
          <c:extLst>
            <c:ext xmlns:c16="http://schemas.microsoft.com/office/drawing/2014/chart" uri="{C3380CC4-5D6E-409C-BE32-E72D297353CC}">
              <c16:uniqueId val="{0000000D-B547-4A53-B2BE-4A456083FC38}"/>
            </c:ext>
          </c:extLst>
        </c:ser>
        <c:ser>
          <c:idx val="7"/>
          <c:order val="7"/>
          <c:tx>
            <c:strRef>
              <c:f>contribution_cathode!$K$47</c:f>
              <c:strCache>
                <c:ptCount val="1"/>
                <c:pt idx="0">
                  <c:v>Electricity, medium voltage {CN}| market group for | Cut-off, U</c:v>
                </c:pt>
              </c:strCache>
            </c:strRef>
          </c:tx>
          <c:spPr>
            <a:solidFill>
              <a:schemeClr val="accent2">
                <a:lumMod val="60000"/>
              </a:schemeClr>
            </a:solidFill>
            <a:ln>
              <a:noFill/>
            </a:ln>
            <a:effectLst/>
          </c:spPr>
          <c:invertIfNegative val="0"/>
          <c:cat>
            <c:strRef>
              <c:f>contribution_cathode!$A$48:$A$63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contribution_cathode!$K$48:$K$63</c:f>
              <c:numCache>
                <c:formatCode>0.00E+00</c:formatCode>
                <c:ptCount val="16"/>
                <c:pt idx="0">
                  <c:v>0.53153054</c:v>
                </c:pt>
                <c:pt idx="1">
                  <c:v>3.3524648000000001E-9</c:v>
                </c:pt>
                <c:pt idx="2">
                  <c:v>3.0103221000000002E-3</c:v>
                </c:pt>
                <c:pt idx="3">
                  <c:v>1.6265985000000001E-3</c:v>
                </c:pt>
                <c:pt idx="4">
                  <c:v>3.7645355000000001E-8</c:v>
                </c:pt>
                <c:pt idx="5">
                  <c:v>5.2633049000000001E-9</c:v>
                </c:pt>
                <c:pt idx="6">
                  <c:v>1.0729973000000001E-10</c:v>
                </c:pt>
                <c:pt idx="7">
                  <c:v>2.7575917E-3</c:v>
                </c:pt>
                <c:pt idx="8">
                  <c:v>1.1176727E-5</c:v>
                </c:pt>
                <c:pt idx="9">
                  <c:v>5.7076111000000003E-4</c:v>
                </c:pt>
                <c:pt idx="10">
                  <c:v>6.2795228000000003E-3</c:v>
                </c:pt>
                <c:pt idx="11">
                  <c:v>13.431905</c:v>
                </c:pt>
                <c:pt idx="12">
                  <c:v>1.0093947000000001</c:v>
                </c:pt>
                <c:pt idx="13">
                  <c:v>5.4373528999999997E-2</c:v>
                </c:pt>
                <c:pt idx="14">
                  <c:v>4.6854889999999996</c:v>
                </c:pt>
                <c:pt idx="15">
                  <c:v>6.9136546000000002E-7</c:v>
                </c:pt>
              </c:numCache>
            </c:numRef>
          </c:val>
          <c:extLst>
            <c:ext xmlns:c16="http://schemas.microsoft.com/office/drawing/2014/chart" uri="{C3380CC4-5D6E-409C-BE32-E72D297353CC}">
              <c16:uniqueId val="{0000000E-B547-4A53-B2BE-4A456083FC38}"/>
            </c:ext>
          </c:extLst>
        </c:ser>
        <c:dLbls>
          <c:showLegendKey val="0"/>
          <c:showVal val="0"/>
          <c:showCatName val="0"/>
          <c:showSerName val="0"/>
          <c:showPercent val="0"/>
          <c:showBubbleSize val="0"/>
        </c:dLbls>
        <c:gapWidth val="150"/>
        <c:overlap val="100"/>
        <c:axId val="422677600"/>
        <c:axId val="422677928"/>
      </c:barChart>
      <c:catAx>
        <c:axId val="42267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677928"/>
        <c:crosses val="autoZero"/>
        <c:auto val="1"/>
        <c:lblAlgn val="ctr"/>
        <c:lblOffset val="100"/>
        <c:noMultiLvlLbl val="0"/>
      </c:catAx>
      <c:valAx>
        <c:axId val="4226779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677600"/>
        <c:crosses val="autoZero"/>
        <c:crossBetween val="between"/>
      </c:valAx>
      <c:spPr>
        <a:noFill/>
        <a:ln>
          <a:noFill/>
        </a:ln>
        <a:effectLst/>
      </c:spPr>
    </c:plotArea>
    <c:legend>
      <c:legendPos val="b"/>
      <c:layout>
        <c:manualLayout>
          <c:xMode val="edge"/>
          <c:yMode val="edge"/>
          <c:x val="1.6421116155810395E-2"/>
          <c:y val="0.82105131647051199"/>
          <c:w val="0.95476614886611744"/>
          <c:h val="0.17596620547066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55420207435949E-2"/>
          <c:y val="7.7797587834294704E-2"/>
          <c:w val="0.92433879969395671"/>
          <c:h val="0.49723117069726536"/>
        </c:manualLayout>
      </c:layout>
      <c:barChart>
        <c:barDir val="col"/>
        <c:grouping val="percentStacked"/>
        <c:varyColors val="0"/>
        <c:ser>
          <c:idx val="0"/>
          <c:order val="0"/>
          <c:tx>
            <c:strRef>
              <c:f>'contribution_active material'!$D$7</c:f>
              <c:strCache>
                <c:ptCount val="1"/>
                <c:pt idx="0">
                  <c:v>NMC111 oxide</c:v>
                </c:pt>
              </c:strCache>
            </c:strRef>
          </c:tx>
          <c:spPr>
            <a:solidFill>
              <a:schemeClr val="accent1"/>
            </a:solidFill>
            <a:ln>
              <a:noFill/>
            </a:ln>
            <a:effectLst/>
          </c:spPr>
          <c:invertIfNegative val="0"/>
          <c:cat>
            <c:strRef>
              <c:f>'contribution_active material'!$A$8:$A$23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'contribution_active material'!$D$8:$D$23</c:f>
              <c:numCache>
                <c:formatCode>0.00E+00</c:formatCode>
                <c:ptCount val="16"/>
                <c:pt idx="0">
                  <c:v>0.206956</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17B2-4522-8621-09DD59683001}"/>
            </c:ext>
          </c:extLst>
        </c:ser>
        <c:ser>
          <c:idx val="1"/>
          <c:order val="1"/>
          <c:tx>
            <c:strRef>
              <c:f>'contribution_active material'!$E$7</c:f>
              <c:strCache>
                <c:ptCount val="1"/>
                <c:pt idx="0">
                  <c:v>NMC111 hydroxide, from sulfate precursors</c:v>
                </c:pt>
              </c:strCache>
            </c:strRef>
          </c:tx>
          <c:spPr>
            <a:solidFill>
              <a:schemeClr val="accent2"/>
            </a:solidFill>
            <a:ln>
              <a:noFill/>
            </a:ln>
            <a:effectLst/>
          </c:spPr>
          <c:invertIfNegative val="0"/>
          <c:cat>
            <c:strRef>
              <c:f>'contribution_active material'!$A$8:$A$23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'contribution_active material'!$E$8:$E$23</c:f>
              <c:numCache>
                <c:formatCode>0.00E+00</c:formatCode>
                <c:ptCount val="16"/>
                <c:pt idx="0">
                  <c:v>11.65827</c:v>
                </c:pt>
                <c:pt idx="1">
                  <c:v>1.7353051999999999E-6</c:v>
                </c:pt>
                <c:pt idx="2">
                  <c:v>0.35057232999999999</c:v>
                </c:pt>
                <c:pt idx="3">
                  <c:v>0.10893209</c:v>
                </c:pt>
                <c:pt idx="4">
                  <c:v>1.11068E-5</c:v>
                </c:pt>
                <c:pt idx="5">
                  <c:v>2.7583740999999999E-7</c:v>
                </c:pt>
                <c:pt idx="6">
                  <c:v>1.4882569E-8</c:v>
                </c:pt>
                <c:pt idx="7">
                  <c:v>0.84520669000000004</c:v>
                </c:pt>
                <c:pt idx="8">
                  <c:v>5.3502303999999998E-4</c:v>
                </c:pt>
                <c:pt idx="9">
                  <c:v>2.0412458000000001E-2</c:v>
                </c:pt>
                <c:pt idx="10">
                  <c:v>0.32347725999999999</c:v>
                </c:pt>
                <c:pt idx="11">
                  <c:v>1382.0275999999999</c:v>
                </c:pt>
                <c:pt idx="12">
                  <c:v>48.479073999999997</c:v>
                </c:pt>
                <c:pt idx="13">
                  <c:v>6.1512468</c:v>
                </c:pt>
                <c:pt idx="14">
                  <c:v>132.56258</c:v>
                </c:pt>
                <c:pt idx="15">
                  <c:v>1.1819554999999999E-3</c:v>
                </c:pt>
              </c:numCache>
            </c:numRef>
          </c:val>
          <c:extLst>
            <c:ext xmlns:c16="http://schemas.microsoft.com/office/drawing/2014/chart" uri="{C3380CC4-5D6E-409C-BE32-E72D297353CC}">
              <c16:uniqueId val="{00000008-17B2-4522-8621-09DD59683001}"/>
            </c:ext>
          </c:extLst>
        </c:ser>
        <c:ser>
          <c:idx val="2"/>
          <c:order val="2"/>
          <c:tx>
            <c:strRef>
              <c:f>'contribution_active material'!$F$7</c:f>
              <c:strCache>
                <c:ptCount val="1"/>
                <c:pt idx="0">
                  <c:v>Lithium carbonate {GLO}| market for | Cut-off, U</c:v>
                </c:pt>
              </c:strCache>
            </c:strRef>
          </c:tx>
          <c:spPr>
            <a:solidFill>
              <a:schemeClr val="accent3"/>
            </a:solidFill>
            <a:ln>
              <a:noFill/>
            </a:ln>
            <a:effectLst/>
          </c:spPr>
          <c:invertIfNegative val="0"/>
          <c:cat>
            <c:strRef>
              <c:f>'contribution_active material'!$A$8:$A$23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'contribution_active material'!$F$8:$F$23</c:f>
              <c:numCache>
                <c:formatCode>0.00E+00</c:formatCode>
                <c:ptCount val="16"/>
                <c:pt idx="0">
                  <c:v>0.85664450999999997</c:v>
                </c:pt>
                <c:pt idx="1">
                  <c:v>8.4235593000000007E-8</c:v>
                </c:pt>
                <c:pt idx="2">
                  <c:v>3.420285E-2</c:v>
                </c:pt>
                <c:pt idx="3">
                  <c:v>4.0417548999999997E-3</c:v>
                </c:pt>
                <c:pt idx="4">
                  <c:v>8.7800646999999997E-8</c:v>
                </c:pt>
                <c:pt idx="5">
                  <c:v>4.4941889999999998E-8</c:v>
                </c:pt>
                <c:pt idx="6">
                  <c:v>1.1638255999999999E-9</c:v>
                </c:pt>
                <c:pt idx="7">
                  <c:v>8.1191001000000002E-3</c:v>
                </c:pt>
                <c:pt idx="8">
                  <c:v>4.9453697999999998E-5</c:v>
                </c:pt>
                <c:pt idx="9">
                  <c:v>1.6823303E-3</c:v>
                </c:pt>
                <c:pt idx="10">
                  <c:v>2.2189791E-2</c:v>
                </c:pt>
                <c:pt idx="11">
                  <c:v>56.748584999999999</c:v>
                </c:pt>
                <c:pt idx="12">
                  <c:v>12.411239999999999</c:v>
                </c:pt>
                <c:pt idx="13">
                  <c:v>0.63788973000000004</c:v>
                </c:pt>
                <c:pt idx="14">
                  <c:v>10.345166000000001</c:v>
                </c:pt>
                <c:pt idx="15">
                  <c:v>9.8453979000000006E-5</c:v>
                </c:pt>
              </c:numCache>
            </c:numRef>
          </c:val>
          <c:extLst>
            <c:ext xmlns:c16="http://schemas.microsoft.com/office/drawing/2014/chart" uri="{C3380CC4-5D6E-409C-BE32-E72D297353CC}">
              <c16:uniqueId val="{00000009-17B2-4522-8621-09DD59683001}"/>
            </c:ext>
          </c:extLst>
        </c:ser>
        <c:ser>
          <c:idx val="3"/>
          <c:order val="3"/>
          <c:tx>
            <c:strRef>
              <c:f>'contribution_active material'!$G$7</c:f>
              <c:strCache>
                <c:ptCount val="1"/>
                <c:pt idx="0">
                  <c:v>Electricity, medium voltage {CN}| market group for | Cut-off, U</c:v>
                </c:pt>
              </c:strCache>
            </c:strRef>
          </c:tx>
          <c:spPr>
            <a:solidFill>
              <a:schemeClr val="accent4"/>
            </a:solidFill>
            <a:ln>
              <a:noFill/>
            </a:ln>
            <a:effectLst/>
          </c:spPr>
          <c:invertIfNegative val="0"/>
          <c:cat>
            <c:strRef>
              <c:f>'contribution_active material'!$A$8:$A$23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'contribution_active material'!$G$8:$G$23</c:f>
              <c:numCache>
                <c:formatCode>0.00E+00</c:formatCode>
                <c:ptCount val="16"/>
                <c:pt idx="0">
                  <c:v>7.2926172999999999</c:v>
                </c:pt>
                <c:pt idx="1">
                  <c:v>4.5995932999999999E-8</c:v>
                </c:pt>
                <c:pt idx="2">
                  <c:v>4.1301722999999999E-2</c:v>
                </c:pt>
                <c:pt idx="3">
                  <c:v>2.2316987E-2</c:v>
                </c:pt>
                <c:pt idx="4">
                  <c:v>5.1649556000000004E-7</c:v>
                </c:pt>
                <c:pt idx="5">
                  <c:v>7.2212724000000004E-8</c:v>
                </c:pt>
                <c:pt idx="6">
                  <c:v>1.472156E-9</c:v>
                </c:pt>
                <c:pt idx="7">
                  <c:v>3.7834251999999999E-2</c:v>
                </c:pt>
                <c:pt idx="8">
                  <c:v>1.5334508E-4</c:v>
                </c:pt>
                <c:pt idx="9">
                  <c:v>7.8308619999999992E-3</c:v>
                </c:pt>
                <c:pt idx="10">
                  <c:v>8.6155269000000007E-2</c:v>
                </c:pt>
                <c:pt idx="11">
                  <c:v>184.28620000000001</c:v>
                </c:pt>
                <c:pt idx="12">
                  <c:v>13.848931</c:v>
                </c:pt>
                <c:pt idx="13">
                  <c:v>0.74600668000000003</c:v>
                </c:pt>
                <c:pt idx="14">
                  <c:v>64.285070000000005</c:v>
                </c:pt>
                <c:pt idx="15">
                  <c:v>9.4855578999999996E-6</c:v>
                </c:pt>
              </c:numCache>
            </c:numRef>
          </c:val>
          <c:extLst>
            <c:ext xmlns:c16="http://schemas.microsoft.com/office/drawing/2014/chart" uri="{C3380CC4-5D6E-409C-BE32-E72D297353CC}">
              <c16:uniqueId val="{0000000A-17B2-4522-8621-09DD59683001}"/>
            </c:ext>
          </c:extLst>
        </c:ser>
        <c:ser>
          <c:idx val="4"/>
          <c:order val="4"/>
          <c:tx>
            <c:strRef>
              <c:f>'contribution_active material'!$H$7</c:f>
              <c:strCache>
                <c:ptCount val="1"/>
                <c:pt idx="0">
                  <c:v>Chemical factory, organics {GLO}| market for | Cut-off, U</c:v>
                </c:pt>
              </c:strCache>
            </c:strRef>
          </c:tx>
          <c:spPr>
            <a:solidFill>
              <a:schemeClr val="accent5"/>
            </a:solidFill>
            <a:ln>
              <a:noFill/>
            </a:ln>
            <a:effectLst/>
          </c:spPr>
          <c:invertIfNegative val="0"/>
          <c:cat>
            <c:strRef>
              <c:f>'contribution_active material'!$A$8:$A$23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'contribution_active material'!$H$8:$H$23</c:f>
              <c:numCache>
                <c:formatCode>0.00E+00</c:formatCode>
                <c:ptCount val="16"/>
                <c:pt idx="0">
                  <c:v>0.11083187</c:v>
                </c:pt>
                <c:pt idx="1">
                  <c:v>7.0878513000000001E-9</c:v>
                </c:pt>
                <c:pt idx="2">
                  <c:v>5.3992262999999997E-3</c:v>
                </c:pt>
                <c:pt idx="3">
                  <c:v>4.9899655E-4</c:v>
                </c:pt>
                <c:pt idx="4">
                  <c:v>8.4410891999999996E-9</c:v>
                </c:pt>
                <c:pt idx="5">
                  <c:v>1.1321718E-8</c:v>
                </c:pt>
                <c:pt idx="6">
                  <c:v>4.2188274999999999E-10</c:v>
                </c:pt>
                <c:pt idx="7">
                  <c:v>1.3420773E-3</c:v>
                </c:pt>
                <c:pt idx="8">
                  <c:v>1.2812781E-5</c:v>
                </c:pt>
                <c:pt idx="9">
                  <c:v>1.4093052999999999E-4</c:v>
                </c:pt>
                <c:pt idx="10">
                  <c:v>1.7930829E-3</c:v>
                </c:pt>
                <c:pt idx="11">
                  <c:v>10.425316</c:v>
                </c:pt>
                <c:pt idx="12">
                  <c:v>1.8413120000000001</c:v>
                </c:pt>
                <c:pt idx="13">
                  <c:v>2.9154156000000001E-2</c:v>
                </c:pt>
                <c:pt idx="14">
                  <c:v>1.3295551999999999</c:v>
                </c:pt>
                <c:pt idx="15">
                  <c:v>3.0182529E-5</c:v>
                </c:pt>
              </c:numCache>
            </c:numRef>
          </c:val>
          <c:extLst>
            <c:ext xmlns:c16="http://schemas.microsoft.com/office/drawing/2014/chart" uri="{C3380CC4-5D6E-409C-BE32-E72D297353CC}">
              <c16:uniqueId val="{0000000B-17B2-4522-8621-09DD59683001}"/>
            </c:ext>
          </c:extLst>
        </c:ser>
        <c:dLbls>
          <c:showLegendKey val="0"/>
          <c:showVal val="0"/>
          <c:showCatName val="0"/>
          <c:showSerName val="0"/>
          <c:showPercent val="0"/>
          <c:showBubbleSize val="0"/>
        </c:dLbls>
        <c:gapWidth val="150"/>
        <c:overlap val="100"/>
        <c:axId val="422677600"/>
        <c:axId val="422677928"/>
      </c:barChart>
      <c:catAx>
        <c:axId val="42267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677928"/>
        <c:crosses val="autoZero"/>
        <c:auto val="1"/>
        <c:lblAlgn val="ctr"/>
        <c:lblOffset val="100"/>
        <c:noMultiLvlLbl val="0"/>
      </c:catAx>
      <c:valAx>
        <c:axId val="4226779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677600"/>
        <c:crosses val="autoZero"/>
        <c:crossBetween val="between"/>
      </c:valAx>
      <c:spPr>
        <a:noFill/>
        <a:ln>
          <a:noFill/>
        </a:ln>
        <a:effectLst/>
      </c:spPr>
    </c:plotArea>
    <c:legend>
      <c:legendPos val="b"/>
      <c:layout>
        <c:manualLayout>
          <c:xMode val="edge"/>
          <c:yMode val="edge"/>
          <c:x val="1.6421116155810395E-2"/>
          <c:y val="0.85421930806105972"/>
          <c:w val="0.7942430756358132"/>
          <c:h val="0.145780709425851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55420207435949E-2"/>
          <c:y val="7.7797587834294704E-2"/>
          <c:w val="0.92433879969395671"/>
          <c:h val="0.49723117069726536"/>
        </c:manualLayout>
      </c:layout>
      <c:barChart>
        <c:barDir val="col"/>
        <c:grouping val="percentStacked"/>
        <c:varyColors val="0"/>
        <c:ser>
          <c:idx val="0"/>
          <c:order val="0"/>
          <c:tx>
            <c:strRef>
              <c:f>'contribution_active material'!$D$27</c:f>
              <c:strCache>
                <c:ptCount val="1"/>
                <c:pt idx="0">
                  <c:v>NMC811 oxide</c:v>
                </c:pt>
              </c:strCache>
            </c:strRef>
          </c:tx>
          <c:spPr>
            <a:solidFill>
              <a:schemeClr val="accent1"/>
            </a:solidFill>
            <a:ln>
              <a:noFill/>
            </a:ln>
            <a:effectLst/>
          </c:spPr>
          <c:invertIfNegative val="0"/>
          <c:cat>
            <c:strRef>
              <c:f>'contribution_active material'!$A$28:$A$43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'contribution_active material'!$D$28:$D$43</c:f>
              <c:numCache>
                <c:formatCode>0.00E+00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C13E-49D6-B742-55652142CBD2}"/>
            </c:ext>
          </c:extLst>
        </c:ser>
        <c:ser>
          <c:idx val="1"/>
          <c:order val="1"/>
          <c:tx>
            <c:strRef>
              <c:f>'contribution_active material'!$E$27</c:f>
              <c:strCache>
                <c:ptCount val="1"/>
                <c:pt idx="0">
                  <c:v>NMC811 hydroxide, from sulfate precursors</c:v>
                </c:pt>
              </c:strCache>
            </c:strRef>
          </c:tx>
          <c:spPr>
            <a:solidFill>
              <a:schemeClr val="accent2"/>
            </a:solidFill>
            <a:ln>
              <a:noFill/>
            </a:ln>
            <a:effectLst/>
          </c:spPr>
          <c:invertIfNegative val="0"/>
          <c:cat>
            <c:strRef>
              <c:f>'contribution_active material'!$A$28:$A$43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'contribution_active material'!$E$28:$E$43</c:f>
              <c:numCache>
                <c:formatCode>0.00E+00</c:formatCode>
                <c:ptCount val="16"/>
                <c:pt idx="0">
                  <c:v>12.307703999999999</c:v>
                </c:pt>
                <c:pt idx="1">
                  <c:v>1.6124442E-6</c:v>
                </c:pt>
                <c:pt idx="2">
                  <c:v>0.40810465000000001</c:v>
                </c:pt>
                <c:pt idx="3">
                  <c:v>0.18480473</c:v>
                </c:pt>
                <c:pt idx="4">
                  <c:v>5.2618329999999996E-6</c:v>
                </c:pt>
                <c:pt idx="5">
                  <c:v>3.8580491E-7</c:v>
                </c:pt>
                <c:pt idx="6">
                  <c:v>2.6717582000000001E-8</c:v>
                </c:pt>
                <c:pt idx="7">
                  <c:v>1.8548751000000001</c:v>
                </c:pt>
                <c:pt idx="8">
                  <c:v>9.3315002999999998E-4</c:v>
                </c:pt>
                <c:pt idx="9">
                  <c:v>2.5678294000000001E-2</c:v>
                </c:pt>
                <c:pt idx="10">
                  <c:v>0.41782346999999997</c:v>
                </c:pt>
                <c:pt idx="11">
                  <c:v>2964.8179</c:v>
                </c:pt>
                <c:pt idx="12">
                  <c:v>76.262484000000001</c:v>
                </c:pt>
                <c:pt idx="13">
                  <c:v>5.5312488000000002</c:v>
                </c:pt>
                <c:pt idx="14">
                  <c:v>147.01143999999999</c:v>
                </c:pt>
                <c:pt idx="15">
                  <c:v>1.3523121999999999E-3</c:v>
                </c:pt>
              </c:numCache>
            </c:numRef>
          </c:val>
          <c:extLst>
            <c:ext xmlns:c16="http://schemas.microsoft.com/office/drawing/2014/chart" uri="{C3380CC4-5D6E-409C-BE32-E72D297353CC}">
              <c16:uniqueId val="{00000005-C13E-49D6-B742-55652142CBD2}"/>
            </c:ext>
          </c:extLst>
        </c:ser>
        <c:ser>
          <c:idx val="2"/>
          <c:order val="2"/>
          <c:tx>
            <c:strRef>
              <c:f>'contribution_active material'!$F$27</c:f>
              <c:strCache>
                <c:ptCount val="1"/>
                <c:pt idx="0">
                  <c:v>Lithium hydroxide {GLO}| market for | Cut-off, U</c:v>
                </c:pt>
              </c:strCache>
            </c:strRef>
          </c:tx>
          <c:spPr>
            <a:solidFill>
              <a:schemeClr val="accent3"/>
            </a:solidFill>
            <a:ln>
              <a:noFill/>
            </a:ln>
            <a:effectLst/>
          </c:spPr>
          <c:invertIfNegative val="0"/>
          <c:cat>
            <c:strRef>
              <c:f>'contribution_active material'!$A$28:$A$43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'contribution_active material'!$F$28:$F$43</c:f>
              <c:numCache>
                <c:formatCode>0.00E+00</c:formatCode>
                <c:ptCount val="16"/>
                <c:pt idx="0">
                  <c:v>1.4721365</c:v>
                </c:pt>
                <c:pt idx="1">
                  <c:v>1.2718998E-7</c:v>
                </c:pt>
                <c:pt idx="2">
                  <c:v>5.2268449000000002E-2</c:v>
                </c:pt>
                <c:pt idx="3">
                  <c:v>5.3093558000000003E-3</c:v>
                </c:pt>
                <c:pt idx="4">
                  <c:v>1.0234695E-7</c:v>
                </c:pt>
                <c:pt idx="5">
                  <c:v>5.3860462999999999E-8</c:v>
                </c:pt>
                <c:pt idx="6">
                  <c:v>1.3762291E-9</c:v>
                </c:pt>
                <c:pt idx="7">
                  <c:v>1.0141578E-2</c:v>
                </c:pt>
                <c:pt idx="8">
                  <c:v>6.2447438000000005E-5</c:v>
                </c:pt>
                <c:pt idx="9">
                  <c:v>2.0640305999999999E-3</c:v>
                </c:pt>
                <c:pt idx="10">
                  <c:v>2.6668463999999999E-2</c:v>
                </c:pt>
                <c:pt idx="11">
                  <c:v>69.368431999999999</c:v>
                </c:pt>
                <c:pt idx="12">
                  <c:v>14.230556</c:v>
                </c:pt>
                <c:pt idx="13">
                  <c:v>0.72969819000000002</c:v>
                </c:pt>
                <c:pt idx="14">
                  <c:v>15.201738000000001</c:v>
                </c:pt>
                <c:pt idx="15">
                  <c:v>1.1007374E-4</c:v>
                </c:pt>
              </c:numCache>
            </c:numRef>
          </c:val>
          <c:extLst>
            <c:ext xmlns:c16="http://schemas.microsoft.com/office/drawing/2014/chart" uri="{C3380CC4-5D6E-409C-BE32-E72D297353CC}">
              <c16:uniqueId val="{00000006-C13E-49D6-B742-55652142CBD2}"/>
            </c:ext>
          </c:extLst>
        </c:ser>
        <c:ser>
          <c:idx val="3"/>
          <c:order val="3"/>
          <c:tx>
            <c:strRef>
              <c:f>'contribution_active material'!$G$27</c:f>
              <c:strCache>
                <c:ptCount val="1"/>
                <c:pt idx="0">
                  <c:v>Electricity, medium voltage {CN}| market group for | Cut-off, U</c:v>
                </c:pt>
              </c:strCache>
            </c:strRef>
          </c:tx>
          <c:spPr>
            <a:solidFill>
              <a:schemeClr val="accent4"/>
            </a:solidFill>
            <a:ln>
              <a:noFill/>
            </a:ln>
            <a:effectLst/>
          </c:spPr>
          <c:invertIfNegative val="0"/>
          <c:cat>
            <c:strRef>
              <c:f>'contribution_active material'!$A$28:$A$43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'contribution_active material'!$G$28:$G$43</c:f>
              <c:numCache>
                <c:formatCode>0.00E+00</c:formatCode>
                <c:ptCount val="16"/>
                <c:pt idx="0">
                  <c:v>0.11083187</c:v>
                </c:pt>
                <c:pt idx="1">
                  <c:v>7.0878514000000001E-9</c:v>
                </c:pt>
                <c:pt idx="2">
                  <c:v>5.3992262999999997E-3</c:v>
                </c:pt>
                <c:pt idx="3">
                  <c:v>4.9899655999999996E-4</c:v>
                </c:pt>
                <c:pt idx="4">
                  <c:v>8.4410892999999996E-9</c:v>
                </c:pt>
                <c:pt idx="5">
                  <c:v>1.1321718E-8</c:v>
                </c:pt>
                <c:pt idx="6">
                  <c:v>4.2188275999999999E-10</c:v>
                </c:pt>
                <c:pt idx="7">
                  <c:v>1.3420773E-3</c:v>
                </c:pt>
                <c:pt idx="8">
                  <c:v>1.2812781E-5</c:v>
                </c:pt>
                <c:pt idx="9">
                  <c:v>1.4093052999999999E-4</c:v>
                </c:pt>
                <c:pt idx="10">
                  <c:v>1.7930829E-3</c:v>
                </c:pt>
                <c:pt idx="11">
                  <c:v>10.425316</c:v>
                </c:pt>
                <c:pt idx="12">
                  <c:v>1.8413120000000001</c:v>
                </c:pt>
                <c:pt idx="13">
                  <c:v>2.9154156000000001E-2</c:v>
                </c:pt>
                <c:pt idx="14">
                  <c:v>1.3295551999999999</c:v>
                </c:pt>
                <c:pt idx="15">
                  <c:v>3.018253E-5</c:v>
                </c:pt>
              </c:numCache>
            </c:numRef>
          </c:val>
          <c:extLst>
            <c:ext xmlns:c16="http://schemas.microsoft.com/office/drawing/2014/chart" uri="{C3380CC4-5D6E-409C-BE32-E72D297353CC}">
              <c16:uniqueId val="{00000007-C13E-49D6-B742-55652142CBD2}"/>
            </c:ext>
          </c:extLst>
        </c:ser>
        <c:ser>
          <c:idx val="4"/>
          <c:order val="4"/>
          <c:tx>
            <c:strRef>
              <c:f>'contribution_active material'!$H$27</c:f>
              <c:strCache>
                <c:ptCount val="1"/>
                <c:pt idx="0">
                  <c:v>Chemical factory, organics {GLO}| market for | Cut-off, U</c:v>
                </c:pt>
              </c:strCache>
            </c:strRef>
          </c:tx>
          <c:spPr>
            <a:solidFill>
              <a:schemeClr val="accent5"/>
            </a:solidFill>
            <a:ln>
              <a:noFill/>
            </a:ln>
            <a:effectLst/>
          </c:spPr>
          <c:invertIfNegative val="0"/>
          <c:cat>
            <c:strRef>
              <c:f>'contribution_active material'!$A$28:$A$43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'contribution_active material'!$H$28:$H$43</c:f>
              <c:numCache>
                <c:formatCode>0.00E+00</c:formatCode>
                <c:ptCount val="16"/>
                <c:pt idx="0">
                  <c:v>7.7002503000000004</c:v>
                </c:pt>
                <c:pt idx="1">
                  <c:v>4.8566951999999999E-8</c:v>
                </c:pt>
                <c:pt idx="2">
                  <c:v>4.3610350999999999E-2</c:v>
                </c:pt>
                <c:pt idx="3">
                  <c:v>2.3564432E-2</c:v>
                </c:pt>
                <c:pt idx="4">
                  <c:v>5.4536592999999997E-7</c:v>
                </c:pt>
                <c:pt idx="5">
                  <c:v>7.6249174000000006E-8</c:v>
                </c:pt>
                <c:pt idx="6">
                  <c:v>1.5544446000000001E-9</c:v>
                </c:pt>
                <c:pt idx="7">
                  <c:v>3.9949061000000001E-2</c:v>
                </c:pt>
                <c:pt idx="8">
                  <c:v>1.6191656E-4</c:v>
                </c:pt>
                <c:pt idx="9">
                  <c:v>8.2685811000000001E-3</c:v>
                </c:pt>
                <c:pt idx="10">
                  <c:v>9.0971060000000006E-2</c:v>
                </c:pt>
                <c:pt idx="11">
                  <c:v>194.58717999999999</c:v>
                </c:pt>
                <c:pt idx="12">
                  <c:v>14.62304</c:v>
                </c:pt>
                <c:pt idx="13">
                  <c:v>0.78770596000000004</c:v>
                </c:pt>
                <c:pt idx="14">
                  <c:v>67.878390999999993</c:v>
                </c:pt>
                <c:pt idx="15">
                  <c:v>1.0015769E-5</c:v>
                </c:pt>
              </c:numCache>
            </c:numRef>
          </c:val>
          <c:extLst>
            <c:ext xmlns:c16="http://schemas.microsoft.com/office/drawing/2014/chart" uri="{C3380CC4-5D6E-409C-BE32-E72D297353CC}">
              <c16:uniqueId val="{00000008-C13E-49D6-B742-55652142CBD2}"/>
            </c:ext>
          </c:extLst>
        </c:ser>
        <c:dLbls>
          <c:showLegendKey val="0"/>
          <c:showVal val="0"/>
          <c:showCatName val="0"/>
          <c:showSerName val="0"/>
          <c:showPercent val="0"/>
          <c:showBubbleSize val="0"/>
        </c:dLbls>
        <c:gapWidth val="150"/>
        <c:overlap val="100"/>
        <c:axId val="422677600"/>
        <c:axId val="422677928"/>
      </c:barChart>
      <c:catAx>
        <c:axId val="42267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677928"/>
        <c:crosses val="autoZero"/>
        <c:auto val="1"/>
        <c:lblAlgn val="ctr"/>
        <c:lblOffset val="100"/>
        <c:noMultiLvlLbl val="0"/>
      </c:catAx>
      <c:valAx>
        <c:axId val="4226779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677600"/>
        <c:crosses val="autoZero"/>
        <c:crossBetween val="between"/>
      </c:valAx>
      <c:spPr>
        <a:noFill/>
        <a:ln>
          <a:noFill/>
        </a:ln>
        <a:effectLst/>
      </c:spPr>
    </c:plotArea>
    <c:legend>
      <c:legendPos val="b"/>
      <c:layout>
        <c:manualLayout>
          <c:xMode val="edge"/>
          <c:yMode val="edge"/>
          <c:x val="1.6421116155810395E-2"/>
          <c:y val="0.85421930806105972"/>
          <c:w val="0.7942430756358132"/>
          <c:h val="0.145780709425851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55420207435949E-2"/>
          <c:y val="7.7797587834294704E-2"/>
          <c:w val="0.92433879969395671"/>
          <c:h val="0.49723117069726536"/>
        </c:manualLayout>
      </c:layout>
      <c:barChart>
        <c:barDir val="col"/>
        <c:grouping val="percentStacked"/>
        <c:varyColors val="0"/>
        <c:ser>
          <c:idx val="0"/>
          <c:order val="0"/>
          <c:tx>
            <c:strRef>
              <c:f>'contribution_active material'!$D$47</c:f>
              <c:strCache>
                <c:ptCount val="1"/>
                <c:pt idx="0">
                  <c:v>NCA oxide</c:v>
                </c:pt>
              </c:strCache>
            </c:strRef>
          </c:tx>
          <c:spPr>
            <a:solidFill>
              <a:schemeClr val="accent1"/>
            </a:solidFill>
            <a:ln>
              <a:noFill/>
            </a:ln>
            <a:effectLst/>
          </c:spPr>
          <c:invertIfNegative val="0"/>
          <c:cat>
            <c:strRef>
              <c:f>'contribution_active material'!$A$48:$A$63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'contribution_active material'!$D$48:$D$63</c:f>
              <c:numCache>
                <c:formatCode>0.00E+00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6E20-4FE9-BA2F-1540DB473D29}"/>
            </c:ext>
          </c:extLst>
        </c:ser>
        <c:ser>
          <c:idx val="1"/>
          <c:order val="1"/>
          <c:tx>
            <c:strRef>
              <c:f>'contribution_active material'!$E$47</c:f>
              <c:strCache>
                <c:ptCount val="1"/>
                <c:pt idx="0">
                  <c:v>NCA hydroxide, from sulfate precursors</c:v>
                </c:pt>
              </c:strCache>
            </c:strRef>
          </c:tx>
          <c:spPr>
            <a:solidFill>
              <a:schemeClr val="accent2"/>
            </a:solidFill>
            <a:ln>
              <a:noFill/>
            </a:ln>
            <a:effectLst/>
          </c:spPr>
          <c:invertIfNegative val="0"/>
          <c:cat>
            <c:strRef>
              <c:f>'contribution_active material'!$A$48:$A$63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'contribution_active material'!$E$48:$E$63</c:f>
              <c:numCache>
                <c:formatCode>0.00E+00</c:formatCode>
                <c:ptCount val="16"/>
                <c:pt idx="0">
                  <c:v>13.205174</c:v>
                </c:pt>
                <c:pt idx="1">
                  <c:v>1.7078143999999999E-6</c:v>
                </c:pt>
                <c:pt idx="2">
                  <c:v>0.42954134999999999</c:v>
                </c:pt>
                <c:pt idx="3">
                  <c:v>0.19169446000000001</c:v>
                </c:pt>
                <c:pt idx="4">
                  <c:v>7.1426602999999998E-6</c:v>
                </c:pt>
                <c:pt idx="5">
                  <c:v>4.0620449999999999E-7</c:v>
                </c:pt>
                <c:pt idx="6">
                  <c:v>2.7635880000000002E-8</c:v>
                </c:pt>
                <c:pt idx="7">
                  <c:v>1.9202427</c:v>
                </c:pt>
                <c:pt idx="8">
                  <c:v>9.5672240000000005E-4</c:v>
                </c:pt>
                <c:pt idx="9">
                  <c:v>2.8412361000000001E-2</c:v>
                </c:pt>
                <c:pt idx="10">
                  <c:v>0.59181324999999996</c:v>
                </c:pt>
                <c:pt idx="11">
                  <c:v>3023.9389999999999</c:v>
                </c:pt>
                <c:pt idx="12">
                  <c:v>78.244298000000001</c:v>
                </c:pt>
                <c:pt idx="13">
                  <c:v>6.1531878999999998</c:v>
                </c:pt>
                <c:pt idx="14">
                  <c:v>154.99243000000001</c:v>
                </c:pt>
                <c:pt idx="15">
                  <c:v>1.3672084999999999E-3</c:v>
                </c:pt>
              </c:numCache>
            </c:numRef>
          </c:val>
          <c:extLst>
            <c:ext xmlns:c16="http://schemas.microsoft.com/office/drawing/2014/chart" uri="{C3380CC4-5D6E-409C-BE32-E72D297353CC}">
              <c16:uniqueId val="{0000000A-6E20-4FE9-BA2F-1540DB473D29}"/>
            </c:ext>
          </c:extLst>
        </c:ser>
        <c:ser>
          <c:idx val="2"/>
          <c:order val="2"/>
          <c:tx>
            <c:strRef>
              <c:f>'contribution_active material'!$F$47</c:f>
              <c:strCache>
                <c:ptCount val="1"/>
                <c:pt idx="0">
                  <c:v>Lithium hydroxide {GLO}| market for | Cut-off, U</c:v>
                </c:pt>
              </c:strCache>
            </c:strRef>
          </c:tx>
          <c:spPr>
            <a:solidFill>
              <a:schemeClr val="accent3"/>
            </a:solidFill>
            <a:ln>
              <a:noFill/>
            </a:ln>
            <a:effectLst/>
          </c:spPr>
          <c:invertIfNegative val="0"/>
          <c:cat>
            <c:strRef>
              <c:f>'contribution_active material'!$A$48:$A$63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'contribution_active material'!$F$48:$F$63</c:f>
              <c:numCache>
                <c:formatCode>0.00E+00</c:formatCode>
                <c:ptCount val="16"/>
                <c:pt idx="0">
                  <c:v>1.4948638999999999</c:v>
                </c:pt>
                <c:pt idx="1">
                  <c:v>1.2915358999999999E-7</c:v>
                </c:pt>
                <c:pt idx="2">
                  <c:v>5.3075391E-2</c:v>
                </c:pt>
                <c:pt idx="3">
                  <c:v>5.3913238000000002E-3</c:v>
                </c:pt>
                <c:pt idx="4">
                  <c:v>1.0392701999999999E-7</c:v>
                </c:pt>
                <c:pt idx="5">
                  <c:v>5.4691983000000002E-8</c:v>
                </c:pt>
                <c:pt idx="6">
                  <c:v>1.3974759E-9</c:v>
                </c:pt>
                <c:pt idx="7">
                  <c:v>1.0298148E-2</c:v>
                </c:pt>
                <c:pt idx="8">
                  <c:v>6.3411527000000001E-5</c:v>
                </c:pt>
                <c:pt idx="9">
                  <c:v>2.0958959999999999E-3</c:v>
                </c:pt>
                <c:pt idx="10">
                  <c:v>2.7080183000000001E-2</c:v>
                </c:pt>
                <c:pt idx="11">
                  <c:v>70.439369999999997</c:v>
                </c:pt>
                <c:pt idx="12">
                  <c:v>14.450253</c:v>
                </c:pt>
                <c:pt idx="13">
                  <c:v>0.74096357000000002</c:v>
                </c:pt>
                <c:pt idx="14">
                  <c:v>15.436427999999999</c:v>
                </c:pt>
                <c:pt idx="15">
                  <c:v>1.117731E-4</c:v>
                </c:pt>
              </c:numCache>
            </c:numRef>
          </c:val>
          <c:extLst>
            <c:ext xmlns:c16="http://schemas.microsoft.com/office/drawing/2014/chart" uri="{C3380CC4-5D6E-409C-BE32-E72D297353CC}">
              <c16:uniqueId val="{0000000B-6E20-4FE9-BA2F-1540DB473D29}"/>
            </c:ext>
          </c:extLst>
        </c:ser>
        <c:ser>
          <c:idx val="3"/>
          <c:order val="3"/>
          <c:tx>
            <c:strRef>
              <c:f>'contribution_active material'!$G$47</c:f>
              <c:strCache>
                <c:ptCount val="1"/>
                <c:pt idx="0">
                  <c:v>Electricity, medium voltage {CN}| market group for | Cut-off, U</c:v>
                </c:pt>
              </c:strCache>
            </c:strRef>
          </c:tx>
          <c:spPr>
            <a:solidFill>
              <a:schemeClr val="accent4"/>
            </a:solidFill>
            <a:ln>
              <a:noFill/>
            </a:ln>
            <a:effectLst/>
          </c:spPr>
          <c:invertIfNegative val="0"/>
          <c:cat>
            <c:strRef>
              <c:f>'contribution_active material'!$A$48:$A$63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'contribution_active material'!$G$48:$G$63</c:f>
              <c:numCache>
                <c:formatCode>0.00E+00</c:formatCode>
                <c:ptCount val="16"/>
                <c:pt idx="0">
                  <c:v>0.11083187</c:v>
                </c:pt>
                <c:pt idx="1">
                  <c:v>7.0878513000000001E-9</c:v>
                </c:pt>
                <c:pt idx="2">
                  <c:v>5.3992262999999997E-3</c:v>
                </c:pt>
                <c:pt idx="3">
                  <c:v>4.9899655999999996E-4</c:v>
                </c:pt>
                <c:pt idx="4">
                  <c:v>8.4410891999999996E-9</c:v>
                </c:pt>
                <c:pt idx="5">
                  <c:v>1.1321718E-8</c:v>
                </c:pt>
                <c:pt idx="6">
                  <c:v>4.2188275999999999E-10</c:v>
                </c:pt>
                <c:pt idx="7">
                  <c:v>1.3420773E-3</c:v>
                </c:pt>
                <c:pt idx="8">
                  <c:v>1.2812781E-5</c:v>
                </c:pt>
                <c:pt idx="9">
                  <c:v>1.4093052999999999E-4</c:v>
                </c:pt>
                <c:pt idx="10">
                  <c:v>1.7930829E-3</c:v>
                </c:pt>
                <c:pt idx="11">
                  <c:v>10.425316</c:v>
                </c:pt>
                <c:pt idx="12">
                  <c:v>1.8413120000000001</c:v>
                </c:pt>
                <c:pt idx="13">
                  <c:v>2.9154156000000001E-2</c:v>
                </c:pt>
                <c:pt idx="14">
                  <c:v>1.3295551999999999</c:v>
                </c:pt>
                <c:pt idx="15">
                  <c:v>3.018253E-5</c:v>
                </c:pt>
              </c:numCache>
            </c:numRef>
          </c:val>
          <c:extLst>
            <c:ext xmlns:c16="http://schemas.microsoft.com/office/drawing/2014/chart" uri="{C3380CC4-5D6E-409C-BE32-E72D297353CC}">
              <c16:uniqueId val="{0000000C-6E20-4FE9-BA2F-1540DB473D29}"/>
            </c:ext>
          </c:extLst>
        </c:ser>
        <c:ser>
          <c:idx val="4"/>
          <c:order val="4"/>
          <c:tx>
            <c:strRef>
              <c:f>'contribution_active material'!$H$47</c:f>
              <c:strCache>
                <c:ptCount val="1"/>
                <c:pt idx="0">
                  <c:v>Chemical factory, organics {GLO}| market for | Cut-off, U</c:v>
                </c:pt>
              </c:strCache>
            </c:strRef>
          </c:tx>
          <c:spPr>
            <a:solidFill>
              <a:schemeClr val="accent5"/>
            </a:solidFill>
            <a:ln>
              <a:noFill/>
            </a:ln>
            <a:effectLst/>
          </c:spPr>
          <c:invertIfNegative val="0"/>
          <c:cat>
            <c:strRef>
              <c:f>'contribution_active material'!$A$48:$A$63</c:f>
              <c:strCache>
                <c:ptCount val="16"/>
                <c:pt idx="0">
                  <c:v>Climate change</c:v>
                </c:pt>
                <c:pt idx="1">
                  <c:v>Ozone depletion</c:v>
                </c:pt>
                <c:pt idx="2">
                  <c:v>Ionising radiation</c:v>
                </c:pt>
                <c:pt idx="3">
                  <c:v>Photochemical ozone formation</c:v>
                </c:pt>
                <c:pt idx="4">
                  <c:v>Particulate matter</c:v>
                </c:pt>
                <c:pt idx="5">
                  <c:v>Human toxicity, non-cancer</c:v>
                </c:pt>
                <c:pt idx="6">
                  <c:v>Human toxicity, cancer</c:v>
                </c:pt>
                <c:pt idx="7">
                  <c:v>Acidification</c:v>
                </c:pt>
                <c:pt idx="8">
                  <c:v>Eutrophication, freshwater</c:v>
                </c:pt>
                <c:pt idx="9">
                  <c:v>Eutrophication, marine</c:v>
                </c:pt>
                <c:pt idx="10">
                  <c:v>Eutrophication, terrestrial</c:v>
                </c:pt>
                <c:pt idx="11">
                  <c:v>Ecotoxicity, freshwater</c:v>
                </c:pt>
                <c:pt idx="12">
                  <c:v>Land use</c:v>
                </c:pt>
                <c:pt idx="13">
                  <c:v>Water use</c:v>
                </c:pt>
                <c:pt idx="14">
                  <c:v>Resource use, fossils</c:v>
                </c:pt>
                <c:pt idx="15">
                  <c:v>Resource use, minerals and metals</c:v>
                </c:pt>
              </c:strCache>
            </c:strRef>
          </c:cat>
          <c:val>
            <c:numRef>
              <c:f>'contribution_active material'!$H$48:$H$63</c:f>
              <c:numCache>
                <c:formatCode>0.00E+00</c:formatCode>
                <c:ptCount val="16"/>
                <c:pt idx="0">
                  <c:v>7.7002503000000004</c:v>
                </c:pt>
                <c:pt idx="1">
                  <c:v>4.8566951999999999E-8</c:v>
                </c:pt>
                <c:pt idx="2">
                  <c:v>4.3610350999999999E-2</c:v>
                </c:pt>
                <c:pt idx="3">
                  <c:v>2.3564432999999999E-2</c:v>
                </c:pt>
                <c:pt idx="4">
                  <c:v>5.4536594000000001E-7</c:v>
                </c:pt>
                <c:pt idx="5">
                  <c:v>7.6249174000000006E-8</c:v>
                </c:pt>
                <c:pt idx="6">
                  <c:v>1.5544446000000001E-9</c:v>
                </c:pt>
                <c:pt idx="7">
                  <c:v>3.9949061000000001E-2</c:v>
                </c:pt>
                <c:pt idx="8">
                  <c:v>1.6191656E-4</c:v>
                </c:pt>
                <c:pt idx="9">
                  <c:v>8.2685811000000001E-3</c:v>
                </c:pt>
                <c:pt idx="10">
                  <c:v>9.0971061000000006E-2</c:v>
                </c:pt>
                <c:pt idx="11">
                  <c:v>194.58717999999999</c:v>
                </c:pt>
                <c:pt idx="12">
                  <c:v>14.62304</c:v>
                </c:pt>
                <c:pt idx="13">
                  <c:v>0.78770596999999998</c:v>
                </c:pt>
                <c:pt idx="14">
                  <c:v>67.878392000000005</c:v>
                </c:pt>
                <c:pt idx="15">
                  <c:v>1.0015769E-5</c:v>
                </c:pt>
              </c:numCache>
            </c:numRef>
          </c:val>
          <c:extLst>
            <c:ext xmlns:c16="http://schemas.microsoft.com/office/drawing/2014/chart" uri="{C3380CC4-5D6E-409C-BE32-E72D297353CC}">
              <c16:uniqueId val="{0000000D-6E20-4FE9-BA2F-1540DB473D29}"/>
            </c:ext>
          </c:extLst>
        </c:ser>
        <c:dLbls>
          <c:showLegendKey val="0"/>
          <c:showVal val="0"/>
          <c:showCatName val="0"/>
          <c:showSerName val="0"/>
          <c:showPercent val="0"/>
          <c:showBubbleSize val="0"/>
        </c:dLbls>
        <c:gapWidth val="150"/>
        <c:overlap val="100"/>
        <c:axId val="422677600"/>
        <c:axId val="422677928"/>
      </c:barChart>
      <c:catAx>
        <c:axId val="42267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677928"/>
        <c:crosses val="autoZero"/>
        <c:auto val="1"/>
        <c:lblAlgn val="ctr"/>
        <c:lblOffset val="100"/>
        <c:noMultiLvlLbl val="0"/>
      </c:catAx>
      <c:valAx>
        <c:axId val="4226779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677600"/>
        <c:crosses val="autoZero"/>
        <c:crossBetween val="between"/>
      </c:valAx>
      <c:spPr>
        <a:noFill/>
        <a:ln>
          <a:noFill/>
        </a:ln>
        <a:effectLst/>
      </c:spPr>
    </c:plotArea>
    <c:legend>
      <c:legendPos val="b"/>
      <c:layout>
        <c:manualLayout>
          <c:xMode val="edge"/>
          <c:yMode val="edge"/>
          <c:x val="1.6421116155810395E-2"/>
          <c:y val="0.85421930806105972"/>
          <c:w val="0.7942430756358132"/>
          <c:h val="0.145780709425851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361950</xdr:colOff>
      <xdr:row>0</xdr:row>
      <xdr:rowOff>69850</xdr:rowOff>
    </xdr:from>
    <xdr:to>
      <xdr:col>2</xdr:col>
      <xdr:colOff>8343900</xdr:colOff>
      <xdr:row>11</xdr:row>
      <xdr:rowOff>76200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61950" y="69850"/>
          <a:ext cx="11614150" cy="182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dk1"/>
              </a:solidFill>
              <a:effectLst/>
              <a:latin typeface="+mn-lt"/>
              <a:ea typeface="+mn-ea"/>
              <a:cs typeface="+mn-cs"/>
            </a:rPr>
            <a:t>Towards more flexibility and transparency in life cycle inventories for Lithium-ion batteries</a:t>
          </a:r>
        </a:p>
        <a:p>
          <a:endParaRPr lang="de-CH" sz="1100">
            <a:solidFill>
              <a:schemeClr val="dk1"/>
            </a:solidFill>
            <a:effectLst/>
            <a:latin typeface="+mn-lt"/>
            <a:ea typeface="+mn-ea"/>
            <a:cs typeface="+mn-cs"/>
          </a:endParaRPr>
        </a:p>
        <a:p>
          <a:r>
            <a:rPr lang="de-CH" sz="1200">
              <a:solidFill>
                <a:schemeClr val="dk1"/>
              </a:solidFill>
              <a:effectLst/>
              <a:latin typeface="+mn-lt"/>
              <a:ea typeface="+mn-ea"/>
              <a:cs typeface="+mn-cs"/>
            </a:rPr>
            <a:t>Eleonora Crenna</a:t>
          </a:r>
          <a:r>
            <a:rPr lang="de-CH" sz="1200" baseline="30000">
              <a:solidFill>
                <a:schemeClr val="dk1"/>
              </a:solidFill>
              <a:effectLst/>
              <a:latin typeface="+mn-lt"/>
              <a:ea typeface="+mn-ea"/>
              <a:cs typeface="+mn-cs"/>
            </a:rPr>
            <a:t>1</a:t>
          </a:r>
          <a:r>
            <a:rPr lang="de-CH" sz="1200">
              <a:solidFill>
                <a:schemeClr val="dk1"/>
              </a:solidFill>
              <a:effectLst/>
              <a:latin typeface="+mn-lt"/>
              <a:ea typeface="+mn-ea"/>
              <a:cs typeface="+mn-cs"/>
            </a:rPr>
            <a:t>*, Marcel Gauch</a:t>
          </a:r>
          <a:r>
            <a:rPr lang="de-CH" sz="1200" baseline="30000">
              <a:solidFill>
                <a:schemeClr val="dk1"/>
              </a:solidFill>
              <a:effectLst/>
              <a:latin typeface="+mn-lt"/>
              <a:ea typeface="+mn-ea"/>
              <a:cs typeface="+mn-cs"/>
            </a:rPr>
            <a:t>1</a:t>
          </a:r>
          <a:r>
            <a:rPr lang="de-CH" sz="1200">
              <a:solidFill>
                <a:schemeClr val="dk1"/>
              </a:solidFill>
              <a:effectLst/>
              <a:latin typeface="+mn-lt"/>
              <a:ea typeface="+mn-ea"/>
              <a:cs typeface="+mn-cs"/>
            </a:rPr>
            <a:t>, Rolf Widmer</a:t>
          </a:r>
          <a:r>
            <a:rPr lang="de-CH" sz="1200" baseline="30000">
              <a:solidFill>
                <a:schemeClr val="dk1"/>
              </a:solidFill>
              <a:effectLst/>
              <a:latin typeface="+mn-lt"/>
              <a:ea typeface="+mn-ea"/>
              <a:cs typeface="+mn-cs"/>
            </a:rPr>
            <a:t>1</a:t>
          </a:r>
          <a:r>
            <a:rPr lang="de-CH" sz="1200">
              <a:solidFill>
                <a:schemeClr val="dk1"/>
              </a:solidFill>
              <a:effectLst/>
              <a:latin typeface="+mn-lt"/>
              <a:ea typeface="+mn-ea"/>
              <a:cs typeface="+mn-cs"/>
            </a:rPr>
            <a:t>, Patrick Wäger</a:t>
          </a:r>
          <a:r>
            <a:rPr lang="de-CH" sz="1200" baseline="30000">
              <a:solidFill>
                <a:schemeClr val="dk1"/>
              </a:solidFill>
              <a:effectLst/>
              <a:latin typeface="+mn-lt"/>
              <a:ea typeface="+mn-ea"/>
              <a:cs typeface="+mn-cs"/>
            </a:rPr>
            <a:t>1</a:t>
          </a:r>
          <a:r>
            <a:rPr lang="de-CH" sz="1200">
              <a:solidFill>
                <a:schemeClr val="dk1"/>
              </a:solidFill>
              <a:effectLst/>
              <a:latin typeface="+mn-lt"/>
              <a:ea typeface="+mn-ea"/>
              <a:cs typeface="+mn-cs"/>
            </a:rPr>
            <a:t>, Roland Hischier</a:t>
          </a:r>
          <a:r>
            <a:rPr lang="de-CH" sz="1200" baseline="30000">
              <a:solidFill>
                <a:schemeClr val="dk1"/>
              </a:solidFill>
              <a:effectLst/>
              <a:latin typeface="+mn-lt"/>
              <a:ea typeface="+mn-ea"/>
              <a:cs typeface="+mn-cs"/>
            </a:rPr>
            <a:t>1</a:t>
          </a:r>
          <a:endParaRPr lang="en-US" sz="1200">
            <a:solidFill>
              <a:schemeClr val="dk1"/>
            </a:solidFill>
            <a:effectLst/>
            <a:latin typeface="+mn-lt"/>
            <a:ea typeface="+mn-ea"/>
            <a:cs typeface="+mn-cs"/>
          </a:endParaRPr>
        </a:p>
        <a:p>
          <a:r>
            <a:rPr lang="en-US" sz="1050" strike="noStrike" baseline="30000">
              <a:solidFill>
                <a:schemeClr val="dk1"/>
              </a:solidFill>
              <a:effectLst/>
              <a:latin typeface="+mn-lt"/>
              <a:ea typeface="+mn-ea"/>
              <a:cs typeface="+mn-cs"/>
            </a:rPr>
            <a:t>1</a:t>
          </a:r>
          <a:r>
            <a:rPr lang="en-US" sz="1050" baseline="0">
              <a:solidFill>
                <a:schemeClr val="dk1"/>
              </a:solidFill>
              <a:effectLst/>
              <a:latin typeface="+mn-lt"/>
              <a:ea typeface="+mn-ea"/>
              <a:cs typeface="+mn-cs"/>
            </a:rPr>
            <a:t> </a:t>
          </a:r>
          <a:r>
            <a:rPr lang="en-US" sz="1050">
              <a:solidFill>
                <a:schemeClr val="dk1"/>
              </a:solidFill>
              <a:effectLst/>
              <a:latin typeface="+mn-lt"/>
              <a:ea typeface="+mn-ea"/>
              <a:cs typeface="+mn-cs"/>
            </a:rPr>
            <a:t>Technology &amp; Society Laboratory, Empa, Lerchenfeldstrasse 5, 9014 St Gallen (Switzerland)</a:t>
          </a:r>
        </a:p>
        <a:p>
          <a:r>
            <a:rPr lang="en-US" sz="1050">
              <a:solidFill>
                <a:schemeClr val="dk1"/>
              </a:solidFill>
              <a:effectLst/>
              <a:latin typeface="+mn-lt"/>
              <a:ea typeface="+mn-ea"/>
              <a:cs typeface="+mn-cs"/>
            </a:rPr>
            <a:t>* Corresponding author: </a:t>
          </a:r>
          <a:r>
            <a:rPr lang="en-US" sz="1050" u="sng">
              <a:solidFill>
                <a:schemeClr val="dk1"/>
              </a:solidFill>
              <a:effectLst/>
              <a:latin typeface="+mn-lt"/>
              <a:ea typeface="+mn-ea"/>
              <a:cs typeface="+mn-cs"/>
              <a:hlinkClick xmlns:r="http://schemas.openxmlformats.org/officeDocument/2006/relationships" r:id=""/>
            </a:rPr>
            <a:t>eleonora.crenna@empa.ch</a:t>
          </a:r>
          <a:endParaRPr lang="en-US" sz="1050">
            <a:solidFill>
              <a:schemeClr val="dk1"/>
            </a:solidFill>
            <a:effectLst/>
            <a:latin typeface="+mn-lt"/>
            <a:ea typeface="+mn-ea"/>
            <a:cs typeface="+mn-cs"/>
          </a:endParaRPr>
        </a:p>
        <a:p>
          <a:r>
            <a:rPr lang="en-US" sz="1050" u="none" strike="noStrike">
              <a:solidFill>
                <a:schemeClr val="dk1"/>
              </a:solidFill>
              <a:effectLst/>
              <a:latin typeface="+mn-lt"/>
              <a:ea typeface="+mn-ea"/>
              <a:cs typeface="+mn-cs"/>
            </a:rPr>
            <a:t> </a:t>
          </a:r>
          <a:endParaRPr lang="en-US" sz="1050">
            <a:solidFill>
              <a:schemeClr val="dk1"/>
            </a:solidFill>
            <a:effectLst/>
            <a:latin typeface="+mn-lt"/>
            <a:ea typeface="+mn-ea"/>
            <a:cs typeface="+mn-cs"/>
          </a:endParaRPr>
        </a:p>
        <a:p>
          <a:endParaRPr lang="en-US" sz="1600" b="1">
            <a:solidFill>
              <a:schemeClr val="dk1"/>
            </a:solidFill>
            <a:effectLst/>
            <a:latin typeface="+mn-lt"/>
            <a:ea typeface="+mn-ea"/>
            <a:cs typeface="+mn-cs"/>
          </a:endParaRPr>
        </a:p>
        <a:p>
          <a:r>
            <a:rPr lang="en-US" sz="1600" b="1">
              <a:solidFill>
                <a:schemeClr val="dk1"/>
              </a:solidFill>
              <a:effectLst/>
              <a:latin typeface="+mn-lt"/>
              <a:ea typeface="+mn-ea"/>
              <a:cs typeface="+mn-cs"/>
            </a:rPr>
            <a:t>SUPPLEMENTARY INFORMATION (2)</a:t>
          </a:r>
          <a:endParaRPr lang="en-US" sz="1600">
            <a:solidFill>
              <a:schemeClr val="dk1"/>
            </a:solidFill>
            <a:effectLst/>
            <a:latin typeface="+mn-lt"/>
            <a:ea typeface="+mn-ea"/>
            <a:cs typeface="+mn-cs"/>
          </a:endParaRPr>
        </a:p>
        <a:p>
          <a:endParaRPr lang="en-US" sz="1100"/>
        </a:p>
      </xdr:txBody>
    </xdr:sp>
    <xdr:clientData/>
  </xdr:twoCellAnchor>
  <xdr:twoCellAnchor>
    <xdr:from>
      <xdr:col>3</xdr:col>
      <xdr:colOff>35278</xdr:colOff>
      <xdr:row>13</xdr:row>
      <xdr:rowOff>7055</xdr:rowOff>
    </xdr:from>
    <xdr:to>
      <xdr:col>3</xdr:col>
      <xdr:colOff>246945</xdr:colOff>
      <xdr:row>16</xdr:row>
      <xdr:rowOff>56445</xdr:rowOff>
    </xdr:to>
    <xdr:sp macro="" textlink="">
      <xdr:nvSpPr>
        <xdr:cNvPr id="2" name="Right Brace 1">
          <a:extLst>
            <a:ext uri="{FF2B5EF4-FFF2-40B4-BE49-F238E27FC236}">
              <a16:creationId xmlns:a16="http://schemas.microsoft.com/office/drawing/2014/main" id="{00000000-0008-0000-0000-000002000000}"/>
            </a:ext>
          </a:extLst>
        </xdr:cNvPr>
        <xdr:cNvSpPr/>
      </xdr:nvSpPr>
      <xdr:spPr>
        <a:xfrm>
          <a:off x="13574889" y="2215444"/>
          <a:ext cx="211667" cy="536223"/>
        </a:xfrm>
        <a:prstGeom prst="rightBrace">
          <a:avLst>
            <a:gd name="adj1" fmla="val 53161"/>
            <a:gd name="adj2" fmla="val 43421"/>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72571</xdr:colOff>
      <xdr:row>106</xdr:row>
      <xdr:rowOff>128053</xdr:rowOff>
    </xdr:from>
    <xdr:to>
      <xdr:col>13</xdr:col>
      <xdr:colOff>1359052</xdr:colOff>
      <xdr:row>106</xdr:row>
      <xdr:rowOff>833439</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rotWithShape="1">
        <a:blip xmlns:r="http://schemas.openxmlformats.org/officeDocument/2006/relationships" r:embed="rId1">
          <a:clrChange>
            <a:clrFrom>
              <a:srgbClr val="FFFFFF"/>
            </a:clrFrom>
            <a:clrTo>
              <a:srgbClr val="FFFFFF">
                <a:alpha val="0"/>
              </a:srgbClr>
            </a:clrTo>
          </a:clrChange>
        </a:blip>
        <a:srcRect l="2519" t="4174" r="1"/>
        <a:stretch/>
      </xdr:blipFill>
      <xdr:spPr>
        <a:xfrm>
          <a:off x="27004509" y="17749303"/>
          <a:ext cx="3080356" cy="705386"/>
        </a:xfrm>
        <a:prstGeom prst="rect">
          <a:avLst/>
        </a:prstGeom>
        <a:solidFill>
          <a:schemeClr val="bg1"/>
        </a:solid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72571</xdr:colOff>
      <xdr:row>130</xdr:row>
      <xdr:rowOff>0</xdr:rowOff>
    </xdr:from>
    <xdr:to>
      <xdr:col>13</xdr:col>
      <xdr:colOff>1359052</xdr:colOff>
      <xdr:row>131</xdr:row>
      <xdr:rowOff>152029</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rotWithShape="1">
        <a:blip xmlns:r="http://schemas.openxmlformats.org/officeDocument/2006/relationships" r:embed="rId1">
          <a:clrChange>
            <a:clrFrom>
              <a:srgbClr val="FFFFFF"/>
            </a:clrFrom>
            <a:clrTo>
              <a:srgbClr val="FFFFFF">
                <a:alpha val="0"/>
              </a:srgbClr>
            </a:clrTo>
          </a:clrChange>
        </a:blip>
        <a:srcRect l="2519" t="4174" r="1"/>
        <a:stretch/>
      </xdr:blipFill>
      <xdr:spPr>
        <a:xfrm>
          <a:off x="27002921" y="20187703"/>
          <a:ext cx="3077181" cy="705386"/>
        </a:xfrm>
        <a:prstGeom prst="rect">
          <a:avLst/>
        </a:prstGeom>
        <a:solidFill>
          <a:schemeClr val="bg1"/>
        </a:solidFill>
      </xdr:spPr>
    </xdr:pic>
    <xdr:clientData/>
  </xdr:twoCellAnchor>
  <xdr:twoCellAnchor editAs="oneCell">
    <xdr:from>
      <xdr:col>12</xdr:col>
      <xdr:colOff>72571</xdr:colOff>
      <xdr:row>106</xdr:row>
      <xdr:rowOff>128053</xdr:rowOff>
    </xdr:from>
    <xdr:to>
      <xdr:col>13</xdr:col>
      <xdr:colOff>1359052</xdr:colOff>
      <xdr:row>110</xdr:row>
      <xdr:rowOff>96839</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rotWithShape="1">
        <a:blip xmlns:r="http://schemas.openxmlformats.org/officeDocument/2006/relationships" r:embed="rId1">
          <a:clrChange>
            <a:clrFrom>
              <a:srgbClr val="FFFFFF"/>
            </a:clrFrom>
            <a:clrTo>
              <a:srgbClr val="FFFFFF">
                <a:alpha val="0"/>
              </a:srgbClr>
            </a:clrTo>
          </a:clrChange>
        </a:blip>
        <a:srcRect l="2519" t="4174" r="1"/>
        <a:stretch/>
      </xdr:blipFill>
      <xdr:spPr>
        <a:xfrm>
          <a:off x="27231521" y="35624553"/>
          <a:ext cx="3077181" cy="705386"/>
        </a:xfrm>
        <a:prstGeom prst="rect">
          <a:avLst/>
        </a:prstGeom>
        <a:solidFill>
          <a:schemeClr val="bg1"/>
        </a:solid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72571</xdr:colOff>
      <xdr:row>130</xdr:row>
      <xdr:rowOff>0</xdr:rowOff>
    </xdr:from>
    <xdr:to>
      <xdr:col>13</xdr:col>
      <xdr:colOff>1359052</xdr:colOff>
      <xdr:row>131</xdr:row>
      <xdr:rowOff>152029</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rotWithShape="1">
        <a:blip xmlns:r="http://schemas.openxmlformats.org/officeDocument/2006/relationships" r:embed="rId1">
          <a:clrChange>
            <a:clrFrom>
              <a:srgbClr val="FFFFFF"/>
            </a:clrFrom>
            <a:clrTo>
              <a:srgbClr val="FFFFFF">
                <a:alpha val="0"/>
              </a:srgbClr>
            </a:clrTo>
          </a:clrChange>
        </a:blip>
        <a:srcRect l="2519" t="4174" r="1"/>
        <a:stretch/>
      </xdr:blipFill>
      <xdr:spPr>
        <a:xfrm>
          <a:off x="27002921" y="20187703"/>
          <a:ext cx="3077181" cy="705386"/>
        </a:xfrm>
        <a:prstGeom prst="rect">
          <a:avLst/>
        </a:prstGeom>
        <a:solidFill>
          <a:schemeClr val="bg1"/>
        </a:solidFill>
      </xdr:spPr>
    </xdr:pic>
    <xdr:clientData/>
  </xdr:twoCellAnchor>
  <xdr:twoCellAnchor editAs="oneCell">
    <xdr:from>
      <xdr:col>12</xdr:col>
      <xdr:colOff>72571</xdr:colOff>
      <xdr:row>106</xdr:row>
      <xdr:rowOff>128053</xdr:rowOff>
    </xdr:from>
    <xdr:to>
      <xdr:col>13</xdr:col>
      <xdr:colOff>1359052</xdr:colOff>
      <xdr:row>110</xdr:row>
      <xdr:rowOff>96839</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rotWithShape="1">
        <a:blip xmlns:r="http://schemas.openxmlformats.org/officeDocument/2006/relationships" r:embed="rId1">
          <a:clrChange>
            <a:clrFrom>
              <a:srgbClr val="FFFFFF"/>
            </a:clrFrom>
            <a:clrTo>
              <a:srgbClr val="FFFFFF">
                <a:alpha val="0"/>
              </a:srgbClr>
            </a:clrTo>
          </a:clrChange>
        </a:blip>
        <a:srcRect l="2519" t="4174" r="1"/>
        <a:stretch/>
      </xdr:blipFill>
      <xdr:spPr>
        <a:xfrm>
          <a:off x="27231521" y="35624553"/>
          <a:ext cx="3077181" cy="705386"/>
        </a:xfrm>
        <a:prstGeom prst="rect">
          <a:avLst/>
        </a:prstGeom>
        <a:solidFill>
          <a:schemeClr val="bg1"/>
        </a:solid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103187</xdr:colOff>
      <xdr:row>9</xdr:row>
      <xdr:rowOff>7938</xdr:rowOff>
    </xdr:from>
    <xdr:to>
      <xdr:col>12</xdr:col>
      <xdr:colOff>213042</xdr:colOff>
      <xdr:row>23</xdr:row>
      <xdr:rowOff>123826</xdr:rowOff>
    </xdr:to>
    <xdr:pic>
      <xdr:nvPicPr>
        <xdr:cNvPr id="2" name="Picture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398625" y="2841626"/>
          <a:ext cx="3649980" cy="2695575"/>
        </a:xfrm>
        <a:prstGeom prst="rect">
          <a:avLst/>
        </a:prstGeom>
        <a:noFill/>
        <a:ln>
          <a:solidFill>
            <a:schemeClr val="bg1">
              <a:lumMod val="85000"/>
            </a:schemeClr>
          </a:solid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119062</xdr:colOff>
      <xdr:row>11</xdr:row>
      <xdr:rowOff>79373</xdr:rowOff>
    </xdr:from>
    <xdr:to>
      <xdr:col>15</xdr:col>
      <xdr:colOff>863600</xdr:colOff>
      <xdr:row>42</xdr:row>
      <xdr:rowOff>150813</xdr:rowOff>
    </xdr:to>
    <xdr:graphicFrame macro="">
      <xdr:nvGraphicFramePr>
        <xdr:cNvPr id="5" name="Chart 4">
          <a:extLst>
            <a:ext uri="{FF2B5EF4-FFF2-40B4-BE49-F238E27FC236}">
              <a16:creationId xmlns:a16="http://schemas.microsoft.com/office/drawing/2014/main" id="{00000000-0008-0000-0A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722312</xdr:colOff>
      <xdr:row>9</xdr:row>
      <xdr:rowOff>420686</xdr:rowOff>
    </xdr:from>
    <xdr:to>
      <xdr:col>7</xdr:col>
      <xdr:colOff>722312</xdr:colOff>
      <xdr:row>12</xdr:row>
      <xdr:rowOff>80509</xdr:rowOff>
    </xdr:to>
    <xdr:cxnSp macro="">
      <xdr:nvCxnSpPr>
        <xdr:cNvPr id="2" name="Straight Arrow Connector 1">
          <a:extLst>
            <a:ext uri="{FF2B5EF4-FFF2-40B4-BE49-F238E27FC236}">
              <a16:creationId xmlns:a16="http://schemas.microsoft.com/office/drawing/2014/main" id="{00000000-0008-0000-0B00-000002000000}"/>
            </a:ext>
          </a:extLst>
        </xdr:cNvPr>
        <xdr:cNvCxnSpPr/>
      </xdr:nvCxnSpPr>
      <xdr:spPr>
        <a:xfrm>
          <a:off x="11461750" y="2063749"/>
          <a:ext cx="0" cy="453573"/>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15</xdr:col>
      <xdr:colOff>1</xdr:colOff>
      <xdr:row>13</xdr:row>
      <xdr:rowOff>108480</xdr:rowOff>
    </xdr:from>
    <xdr:to>
      <xdr:col>19</xdr:col>
      <xdr:colOff>1022974</xdr:colOff>
      <xdr:row>31</xdr:row>
      <xdr:rowOff>140229</xdr:rowOff>
    </xdr:to>
    <xdr:pic>
      <xdr:nvPicPr>
        <xdr:cNvPr id="7" name="Picture 6">
          <a:extLst>
            <a:ext uri="{FF2B5EF4-FFF2-40B4-BE49-F238E27FC236}">
              <a16:creationId xmlns:a16="http://schemas.microsoft.com/office/drawing/2014/main" id="{00000000-0008-0000-0B00-000007000000}"/>
            </a:ext>
          </a:extLst>
        </xdr:cNvPr>
        <xdr:cNvPicPr>
          <a:picLocks noChangeAspect="1"/>
        </xdr:cNvPicPr>
      </xdr:nvPicPr>
      <xdr:blipFill>
        <a:blip xmlns:r="http://schemas.openxmlformats.org/officeDocument/2006/relationships" r:embed="rId1"/>
        <a:stretch>
          <a:fillRect/>
        </a:stretch>
      </xdr:blipFill>
      <xdr:spPr>
        <a:xfrm>
          <a:off x="21547668" y="2701397"/>
          <a:ext cx="6229973" cy="401108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9</xdr:col>
      <xdr:colOff>970643</xdr:colOff>
      <xdr:row>10</xdr:row>
      <xdr:rowOff>72572</xdr:rowOff>
    </xdr:from>
    <xdr:to>
      <xdr:col>9</xdr:col>
      <xdr:colOff>970643</xdr:colOff>
      <xdr:row>12</xdr:row>
      <xdr:rowOff>163287</xdr:rowOff>
    </xdr:to>
    <xdr:cxnSp macro="">
      <xdr:nvCxnSpPr>
        <xdr:cNvPr id="6" name="Straight Arrow Connector 5">
          <a:extLst>
            <a:ext uri="{FF2B5EF4-FFF2-40B4-BE49-F238E27FC236}">
              <a16:creationId xmlns:a16="http://schemas.microsoft.com/office/drawing/2014/main" id="{00000000-0008-0000-0D00-000006000000}"/>
            </a:ext>
          </a:extLst>
        </xdr:cNvPr>
        <xdr:cNvCxnSpPr/>
      </xdr:nvCxnSpPr>
      <xdr:spPr>
        <a:xfrm>
          <a:off x="17888857" y="2068286"/>
          <a:ext cx="0" cy="453572"/>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23</xdr:col>
      <xdr:colOff>8796</xdr:colOff>
      <xdr:row>6</xdr:row>
      <xdr:rowOff>222250</xdr:rowOff>
    </xdr:from>
    <xdr:to>
      <xdr:col>35</xdr:col>
      <xdr:colOff>310077</xdr:colOff>
      <xdr:row>23</xdr:row>
      <xdr:rowOff>171146</xdr:rowOff>
    </xdr:to>
    <xdr:graphicFrame macro="">
      <xdr:nvGraphicFramePr>
        <xdr:cNvPr id="5" name="Chart 4">
          <a:extLst>
            <a:ext uri="{FF2B5EF4-FFF2-40B4-BE49-F238E27FC236}">
              <a16:creationId xmlns:a16="http://schemas.microsoft.com/office/drawing/2014/main" id="{00000000-0008-0000-1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0</xdr:colOff>
      <xdr:row>26</xdr:row>
      <xdr:rowOff>201084</xdr:rowOff>
    </xdr:from>
    <xdr:to>
      <xdr:col>35</xdr:col>
      <xdr:colOff>301281</xdr:colOff>
      <xdr:row>43</xdr:row>
      <xdr:rowOff>149980</xdr:rowOff>
    </xdr:to>
    <xdr:graphicFrame macro="">
      <xdr:nvGraphicFramePr>
        <xdr:cNvPr id="4" name="Chart 3">
          <a:extLst>
            <a:ext uri="{FF2B5EF4-FFF2-40B4-BE49-F238E27FC236}">
              <a16:creationId xmlns:a16="http://schemas.microsoft.com/office/drawing/2014/main" id="{00000000-0008-0000-1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603250</xdr:colOff>
      <xdr:row>46</xdr:row>
      <xdr:rowOff>264584</xdr:rowOff>
    </xdr:from>
    <xdr:to>
      <xdr:col>35</xdr:col>
      <xdr:colOff>290697</xdr:colOff>
      <xdr:row>64</xdr:row>
      <xdr:rowOff>33563</xdr:rowOff>
    </xdr:to>
    <xdr:graphicFrame macro="">
      <xdr:nvGraphicFramePr>
        <xdr:cNvPr id="6" name="Chart 5">
          <a:extLst>
            <a:ext uri="{FF2B5EF4-FFF2-40B4-BE49-F238E27FC236}">
              <a16:creationId xmlns:a16="http://schemas.microsoft.com/office/drawing/2014/main" id="{00000000-0008-0000-1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23</xdr:col>
      <xdr:colOff>603250</xdr:colOff>
      <xdr:row>6</xdr:row>
      <xdr:rowOff>116416</xdr:rowOff>
    </xdr:from>
    <xdr:to>
      <xdr:col>36</xdr:col>
      <xdr:colOff>290698</xdr:colOff>
      <xdr:row>24</xdr:row>
      <xdr:rowOff>65312</xdr:rowOff>
    </xdr:to>
    <xdr:graphicFrame macro="">
      <xdr:nvGraphicFramePr>
        <xdr:cNvPr id="6" name="Chart 5">
          <a:extLst>
            <a:ext uri="{FF2B5EF4-FFF2-40B4-BE49-F238E27FC236}">
              <a16:creationId xmlns:a16="http://schemas.microsoft.com/office/drawing/2014/main" id="{00000000-0008-0000-1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1</xdr:colOff>
      <xdr:row>26</xdr:row>
      <xdr:rowOff>74082</xdr:rowOff>
    </xdr:from>
    <xdr:to>
      <xdr:col>36</xdr:col>
      <xdr:colOff>301282</xdr:colOff>
      <xdr:row>44</xdr:row>
      <xdr:rowOff>22978</xdr:rowOff>
    </xdr:to>
    <xdr:graphicFrame macro="">
      <xdr:nvGraphicFramePr>
        <xdr:cNvPr id="7" name="Chart 6">
          <a:extLst>
            <a:ext uri="{FF2B5EF4-FFF2-40B4-BE49-F238E27FC236}">
              <a16:creationId xmlns:a16="http://schemas.microsoft.com/office/drawing/2014/main" id="{00000000-0008-0000-1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10584</xdr:colOff>
      <xdr:row>46</xdr:row>
      <xdr:rowOff>285750</xdr:rowOff>
    </xdr:from>
    <xdr:to>
      <xdr:col>36</xdr:col>
      <xdr:colOff>311865</xdr:colOff>
      <xdr:row>65</xdr:row>
      <xdr:rowOff>54730</xdr:rowOff>
    </xdr:to>
    <xdr:graphicFrame macro="">
      <xdr:nvGraphicFramePr>
        <xdr:cNvPr id="8" name="Chart 7">
          <a:extLst>
            <a:ext uri="{FF2B5EF4-FFF2-40B4-BE49-F238E27FC236}">
              <a16:creationId xmlns:a16="http://schemas.microsoft.com/office/drawing/2014/main" id="{00000000-0008-0000-1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11</xdr:col>
      <xdr:colOff>591532</xdr:colOff>
      <xdr:row>6</xdr:row>
      <xdr:rowOff>127000</xdr:rowOff>
    </xdr:from>
    <xdr:to>
      <xdr:col>24</xdr:col>
      <xdr:colOff>372684</xdr:colOff>
      <xdr:row>23</xdr:row>
      <xdr:rowOff>0</xdr:rowOff>
    </xdr:to>
    <xdr:graphicFrame macro="">
      <xdr:nvGraphicFramePr>
        <xdr:cNvPr id="2" name="Chart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9072</xdr:colOff>
      <xdr:row>26</xdr:row>
      <xdr:rowOff>136071</xdr:rowOff>
    </xdr:from>
    <xdr:to>
      <xdr:col>24</xdr:col>
      <xdr:colOff>398009</xdr:colOff>
      <xdr:row>43</xdr:row>
      <xdr:rowOff>0</xdr:rowOff>
    </xdr:to>
    <xdr:graphicFrame macro="">
      <xdr:nvGraphicFramePr>
        <xdr:cNvPr id="3" name="Chart 2">
          <a:extLst>
            <a:ext uri="{FF2B5EF4-FFF2-40B4-BE49-F238E27FC236}">
              <a16:creationId xmlns:a16="http://schemas.microsoft.com/office/drawing/2014/main" id="{00000000-0008-0000-1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18143</xdr:colOff>
      <xdr:row>46</xdr:row>
      <xdr:rowOff>326571</xdr:rowOff>
    </xdr:from>
    <xdr:to>
      <xdr:col>24</xdr:col>
      <xdr:colOff>407080</xdr:colOff>
      <xdr:row>63</xdr:row>
      <xdr:rowOff>30918</xdr:rowOff>
    </xdr:to>
    <xdr:graphicFrame macro="">
      <xdr:nvGraphicFramePr>
        <xdr:cNvPr id="4" name="Chart 3">
          <a:extLst>
            <a:ext uri="{FF2B5EF4-FFF2-40B4-BE49-F238E27FC236}">
              <a16:creationId xmlns:a16="http://schemas.microsoft.com/office/drawing/2014/main" id="{00000000-0008-0000-1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8</xdr:col>
      <xdr:colOff>399144</xdr:colOff>
      <xdr:row>6</xdr:row>
      <xdr:rowOff>145143</xdr:rowOff>
    </xdr:from>
    <xdr:to>
      <xdr:col>20</xdr:col>
      <xdr:colOff>343581</xdr:colOff>
      <xdr:row>23</xdr:row>
      <xdr:rowOff>30919</xdr:rowOff>
    </xdr:to>
    <xdr:graphicFrame macro="">
      <xdr:nvGraphicFramePr>
        <xdr:cNvPr id="2" name="Chart 1">
          <a:extLst>
            <a:ext uri="{FF2B5EF4-FFF2-40B4-BE49-F238E27FC236}">
              <a16:creationId xmlns:a16="http://schemas.microsoft.com/office/drawing/2014/main" id="{00000000-0008-0000-1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390071</xdr:colOff>
      <xdr:row>26</xdr:row>
      <xdr:rowOff>90714</xdr:rowOff>
    </xdr:from>
    <xdr:to>
      <xdr:col>20</xdr:col>
      <xdr:colOff>334508</xdr:colOff>
      <xdr:row>43</xdr:row>
      <xdr:rowOff>0</xdr:rowOff>
    </xdr:to>
    <xdr:graphicFrame macro="">
      <xdr:nvGraphicFramePr>
        <xdr:cNvPr id="4" name="Chart 3">
          <a:extLst>
            <a:ext uri="{FF2B5EF4-FFF2-40B4-BE49-F238E27FC236}">
              <a16:creationId xmlns:a16="http://schemas.microsoft.com/office/drawing/2014/main" id="{00000000-0008-0000-1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444500</xdr:colOff>
      <xdr:row>46</xdr:row>
      <xdr:rowOff>154215</xdr:rowOff>
    </xdr:from>
    <xdr:to>
      <xdr:col>20</xdr:col>
      <xdr:colOff>388937</xdr:colOff>
      <xdr:row>63</xdr:row>
      <xdr:rowOff>39990</xdr:rowOff>
    </xdr:to>
    <xdr:graphicFrame macro="">
      <xdr:nvGraphicFramePr>
        <xdr:cNvPr id="5" name="Chart 4">
          <a:extLst>
            <a:ext uri="{FF2B5EF4-FFF2-40B4-BE49-F238E27FC236}">
              <a16:creationId xmlns:a16="http://schemas.microsoft.com/office/drawing/2014/main" id="{00000000-0008-0000-1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epectec.com/batteries/battery-enclosure-design.html%20(Accessed%2027.03.2020)"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epectec.com/batteries/battery-enclosure-design.html%20(Accessed%2027.03.2020)"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epectec.com/batteries/battery-enclosure-design.html%20(Accessed%2027.03.202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mdpi.com/1996-1073/11/1/150" TargetMode="External"/><Relationship Id="rId13" Type="http://schemas.openxmlformats.org/officeDocument/2006/relationships/hyperlink" Target="https://worldwide.espacenet.com/patent/search/family/007929786/publication/US6395908B1?q=pn%3DUS6395908" TargetMode="External"/><Relationship Id="rId18" Type="http://schemas.openxmlformats.org/officeDocument/2006/relationships/hyperlink" Target="http://www.diva-portal.org/smash/get/diva2:1131667/FULLTEXT01.pdf" TargetMode="External"/><Relationship Id="rId3" Type="http://schemas.openxmlformats.org/officeDocument/2006/relationships/hyperlink" Target="https://greet.es.anl.gov/publications" TargetMode="External"/><Relationship Id="rId7" Type="http://schemas.openxmlformats.org/officeDocument/2006/relationships/hyperlink" Target="https://onlinelibrary.wiley.com/doi/pdf/10.1002/14356007.a25_477" TargetMode="External"/><Relationship Id="rId12" Type="http://schemas.openxmlformats.org/officeDocument/2006/relationships/hyperlink" Target="https://www.researchgate.net/publication/330902286_LITHIUM-ION_BATTERY_CELL_PRODUCTION_PROCESS" TargetMode="External"/><Relationship Id="rId17" Type="http://schemas.openxmlformats.org/officeDocument/2006/relationships/hyperlink" Target="http://eng.sut.ac.th/transportenergy/data/paper4web/The%20GHG%20regulated%20emission%20and%20energy%20use%20in%20transportation%20model%20-%2099.pdf" TargetMode="External"/><Relationship Id="rId2" Type="http://schemas.openxmlformats.org/officeDocument/2006/relationships/hyperlink" Target="https://greet.es.anl.gov/publications" TargetMode="External"/><Relationship Id="rId16" Type="http://schemas.openxmlformats.org/officeDocument/2006/relationships/hyperlink" Target="https://battprod.vdma.org/documents/7411591/15357859/VDMA+Battery+Production_Roadmap_2016_update_English.pdf/cb2fd37b-348f-467d-a39e-2a3180bb8b5e" TargetMode="External"/><Relationship Id="rId20" Type="http://schemas.openxmlformats.org/officeDocument/2006/relationships/printerSettings" Target="../printerSettings/printerSettings6.bin"/><Relationship Id="rId1" Type="http://schemas.openxmlformats.org/officeDocument/2006/relationships/hyperlink" Target="https://greet.es.anl.gov/publications" TargetMode="External"/><Relationship Id="rId6" Type="http://schemas.openxmlformats.org/officeDocument/2006/relationships/hyperlink" Target="https://www.jstor.org/stable/44741032?seq=1" TargetMode="External"/><Relationship Id="rId11" Type="http://schemas.openxmlformats.org/officeDocument/2006/relationships/hyperlink" Target="https://doi.org/10.1063/1.4878483" TargetMode="External"/><Relationship Id="rId5" Type="http://schemas.openxmlformats.org/officeDocument/2006/relationships/hyperlink" Target="https://en.wikipedia.org/wiki/Vinylene_carbonate" TargetMode="External"/><Relationship Id="rId15" Type="http://schemas.openxmlformats.org/officeDocument/2006/relationships/hyperlink" Target="https://www.researchgate.net/post/How_much_of_NMP_should_be_added_to_get_a_good_quality_of_slurry_for_spinel_cathode_material_LiMn2O4_for_Li-ion_battery" TargetMode="External"/><Relationship Id="rId10" Type="http://schemas.openxmlformats.org/officeDocument/2006/relationships/hyperlink" Target="https://ags.aer.ca/document/OFR/OFR_1972_16.pdf" TargetMode="External"/><Relationship Id="rId19" Type="http://schemas.openxmlformats.org/officeDocument/2006/relationships/hyperlink" Target="https://www.usherbrooke.ca/environnement/fileadmin/sites/environnement/documents/Essais_2015/Cloutier_Julie_MEnv_2015.pdf" TargetMode="External"/><Relationship Id="rId4" Type="http://schemas.openxmlformats.org/officeDocument/2006/relationships/hyperlink" Target="https://greet.es.anl.gov/publications" TargetMode="External"/><Relationship Id="rId9" Type="http://schemas.openxmlformats.org/officeDocument/2006/relationships/hyperlink" Target="https://onlinelibrary.wiley.com/doi/pdf/10.1002/14356007.a07_281.pub2" TargetMode="External"/><Relationship Id="rId14" Type="http://schemas.openxmlformats.org/officeDocument/2006/relationships/hyperlink" Target="https://en.solvionic.com/products/1m-lipf6-in-ec-dmc-1-1-vol.-with-2wt.-vc-99.9"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
  <sheetViews>
    <sheetView showGridLines="0" zoomScale="90" zoomScaleNormal="90" workbookViewId="0">
      <selection activeCell="B13" sqref="B13"/>
    </sheetView>
  </sheetViews>
  <sheetFormatPr defaultColWidth="8.77734375" defaultRowHeight="14.4" x14ac:dyDescent="0.3"/>
  <cols>
    <col min="1" max="1" width="5.77734375" style="109" customWidth="1"/>
    <col min="2" max="2" width="46.21875" customWidth="1"/>
    <col min="3" max="3" width="141.77734375" customWidth="1"/>
    <col min="4" max="4" width="46.6640625" style="109" customWidth="1"/>
    <col min="5" max="5" width="18.33203125" style="109" customWidth="1"/>
    <col min="6" max="10" width="13.77734375" style="109" customWidth="1"/>
    <col min="11" max="16384" width="8.77734375" style="109"/>
  </cols>
  <sheetData>
    <row r="1" spans="2:5" ht="13.8" x14ac:dyDescent="0.3">
      <c r="B1" s="109"/>
      <c r="C1" s="109"/>
    </row>
    <row r="2" spans="2:5" ht="13.8" x14ac:dyDescent="0.3">
      <c r="B2" s="109"/>
      <c r="C2" s="109"/>
    </row>
    <row r="3" spans="2:5" ht="13.8" x14ac:dyDescent="0.3">
      <c r="B3" s="109"/>
      <c r="C3" s="109"/>
    </row>
    <row r="4" spans="2:5" ht="13.8" x14ac:dyDescent="0.3">
      <c r="B4" s="109"/>
      <c r="C4" s="109"/>
    </row>
    <row r="5" spans="2:5" ht="13.8" x14ac:dyDescent="0.3">
      <c r="B5" s="109"/>
      <c r="C5" s="109"/>
    </row>
    <row r="6" spans="2:5" ht="13.8" x14ac:dyDescent="0.3">
      <c r="B6" s="109"/>
      <c r="C6" s="109"/>
    </row>
    <row r="7" spans="2:5" ht="13.8" x14ac:dyDescent="0.3">
      <c r="B7" s="109"/>
      <c r="C7" s="109"/>
    </row>
    <row r="8" spans="2:5" ht="13.8" x14ac:dyDescent="0.3">
      <c r="B8" s="109"/>
      <c r="C8" s="109"/>
    </row>
    <row r="9" spans="2:5" ht="13.8" x14ac:dyDescent="0.3">
      <c r="B9" s="109"/>
      <c r="C9" s="109"/>
    </row>
    <row r="10" spans="2:5" x14ac:dyDescent="0.3">
      <c r="B10" s="109"/>
      <c r="C10" s="109"/>
      <c r="D10"/>
      <c r="E10"/>
    </row>
    <row r="11" spans="2:5" x14ac:dyDescent="0.3">
      <c r="B11" s="109"/>
      <c r="C11" s="109"/>
      <c r="D11"/>
      <c r="E11"/>
    </row>
    <row r="12" spans="2:5" x14ac:dyDescent="0.3">
      <c r="B12" s="109"/>
      <c r="C12" s="109"/>
      <c r="D12"/>
      <c r="E12"/>
    </row>
    <row r="13" spans="2:5" ht="15.6" x14ac:dyDescent="0.3">
      <c r="B13" s="117" t="s">
        <v>346</v>
      </c>
      <c r="C13" s="117" t="s">
        <v>347</v>
      </c>
    </row>
    <row r="14" spans="2:5" ht="13.8" x14ac:dyDescent="0.3">
      <c r="B14" s="125" t="s">
        <v>565</v>
      </c>
      <c r="C14" s="110" t="s">
        <v>681</v>
      </c>
      <c r="D14" s="549" t="s">
        <v>1093</v>
      </c>
    </row>
    <row r="15" spans="2:5" ht="13.8" x14ac:dyDescent="0.3">
      <c r="B15" s="163" t="s">
        <v>564</v>
      </c>
      <c r="C15" s="170" t="s">
        <v>680</v>
      </c>
      <c r="D15" s="549"/>
    </row>
    <row r="16" spans="2:5" ht="13.8" x14ac:dyDescent="0.3">
      <c r="B16" s="162" t="s">
        <v>642</v>
      </c>
      <c r="C16" s="170" t="s">
        <v>682</v>
      </c>
      <c r="D16" s="549"/>
    </row>
    <row r="17" spans="2:11" ht="13.8" x14ac:dyDescent="0.3">
      <c r="B17" s="111" t="s">
        <v>345</v>
      </c>
      <c r="C17" s="110" t="s">
        <v>679</v>
      </c>
    </row>
    <row r="18" spans="2:11" x14ac:dyDescent="0.3">
      <c r="B18" s="111" t="s">
        <v>344</v>
      </c>
      <c r="C18" s="110" t="s">
        <v>683</v>
      </c>
      <c r="E18"/>
      <c r="F18"/>
      <c r="G18"/>
      <c r="H18"/>
      <c r="I18"/>
      <c r="J18"/>
      <c r="K18"/>
    </row>
    <row r="19" spans="2:11" ht="13.8" x14ac:dyDescent="0.3">
      <c r="B19" s="366" t="s">
        <v>845</v>
      </c>
      <c r="C19" s="142" t="s">
        <v>1059</v>
      </c>
    </row>
    <row r="20" spans="2:11" ht="13.8" x14ac:dyDescent="0.3">
      <c r="B20" s="379" t="s">
        <v>1055</v>
      </c>
      <c r="C20" s="142" t="s">
        <v>1057</v>
      </c>
      <c r="D20" s="493"/>
    </row>
    <row r="21" spans="2:11" x14ac:dyDescent="0.3">
      <c r="B21" s="379" t="s">
        <v>1056</v>
      </c>
      <c r="C21" s="142" t="s">
        <v>1058</v>
      </c>
      <c r="D21" s="493"/>
      <c r="E21"/>
    </row>
    <row r="22" spans="2:11" ht="13.8" x14ac:dyDescent="0.3">
      <c r="B22" s="380" t="s">
        <v>809</v>
      </c>
      <c r="C22" s="110" t="s">
        <v>810</v>
      </c>
      <c r="D22" s="493"/>
    </row>
    <row r="23" spans="2:11" ht="13.8" x14ac:dyDescent="0.3">
      <c r="B23" s="380" t="s">
        <v>971</v>
      </c>
      <c r="C23" s="110" t="s">
        <v>811</v>
      </c>
      <c r="D23" s="493"/>
    </row>
    <row r="24" spans="2:11" x14ac:dyDescent="0.3">
      <c r="B24" s="382" t="s">
        <v>862</v>
      </c>
      <c r="C24" s="116" t="s">
        <v>522</v>
      </c>
      <c r="D24" s="493"/>
      <c r="E24"/>
    </row>
    <row r="25" spans="2:11" x14ac:dyDescent="0.3">
      <c r="B25" s="382" t="s">
        <v>1090</v>
      </c>
      <c r="C25" s="116" t="s">
        <v>1091</v>
      </c>
      <c r="D25" s="493"/>
      <c r="E25"/>
    </row>
    <row r="26" spans="2:11" x14ac:dyDescent="0.3">
      <c r="B26" s="382" t="s">
        <v>863</v>
      </c>
      <c r="C26" s="184" t="s">
        <v>592</v>
      </c>
      <c r="D26" s="493"/>
      <c r="E26"/>
    </row>
    <row r="27" spans="2:11" ht="13.8" x14ac:dyDescent="0.3">
      <c r="B27" s="382" t="s">
        <v>864</v>
      </c>
      <c r="C27" s="170" t="s">
        <v>840</v>
      </c>
      <c r="D27" s="493"/>
    </row>
    <row r="28" spans="2:11" ht="13.8" x14ac:dyDescent="0.3">
      <c r="B28" s="382" t="s">
        <v>865</v>
      </c>
      <c r="C28" s="184" t="s">
        <v>846</v>
      </c>
      <c r="D28" s="493"/>
    </row>
    <row r="29" spans="2:11" ht="13.8" x14ac:dyDescent="0.3">
      <c r="B29" s="381" t="s">
        <v>849</v>
      </c>
      <c r="C29" s="116" t="s">
        <v>852</v>
      </c>
      <c r="D29" s="493"/>
    </row>
    <row r="30" spans="2:11" ht="13.8" x14ac:dyDescent="0.3">
      <c r="B30" s="381" t="s">
        <v>850</v>
      </c>
      <c r="C30" s="116" t="s">
        <v>853</v>
      </c>
      <c r="D30" s="493"/>
    </row>
    <row r="31" spans="2:11" ht="13.8" x14ac:dyDescent="0.3">
      <c r="B31" s="381" t="s">
        <v>848</v>
      </c>
      <c r="C31" s="116" t="s">
        <v>854</v>
      </c>
      <c r="D31" s="493"/>
    </row>
    <row r="32" spans="2:11" ht="13.8" x14ac:dyDescent="0.3">
      <c r="B32" s="381" t="s">
        <v>847</v>
      </c>
      <c r="C32" s="116" t="s">
        <v>855</v>
      </c>
      <c r="D32" s="493"/>
    </row>
    <row r="33" spans="1:3" ht="13.8" x14ac:dyDescent="0.3">
      <c r="B33" s="109"/>
      <c r="C33" s="109"/>
    </row>
    <row r="34" spans="1:3" ht="15.6" x14ac:dyDescent="0.3">
      <c r="B34" s="117" t="s">
        <v>1095</v>
      </c>
      <c r="C34" s="117"/>
    </row>
    <row r="35" spans="1:3" ht="13.8" x14ac:dyDescent="0.3">
      <c r="B35" s="109" t="s">
        <v>1096</v>
      </c>
      <c r="C35" s="109"/>
    </row>
    <row r="36" spans="1:3" ht="13.8" x14ac:dyDescent="0.3">
      <c r="A36" s="109" t="s">
        <v>1097</v>
      </c>
      <c r="B36" s="109" t="s">
        <v>732</v>
      </c>
      <c r="C36" s="109" t="s">
        <v>366</v>
      </c>
    </row>
    <row r="37" spans="1:3" s="115" customFormat="1" ht="13.8" x14ac:dyDescent="0.3">
      <c r="A37" s="109" t="s">
        <v>351</v>
      </c>
      <c r="B37" s="112" t="s">
        <v>59</v>
      </c>
      <c r="C37" s="110" t="s">
        <v>348</v>
      </c>
    </row>
    <row r="38" spans="1:3" s="115" customFormat="1" ht="13.8" x14ac:dyDescent="0.3">
      <c r="A38" s="109" t="s">
        <v>352</v>
      </c>
      <c r="B38" s="112" t="s">
        <v>263</v>
      </c>
      <c r="C38" s="110" t="s">
        <v>913</v>
      </c>
    </row>
    <row r="39" spans="1:3" ht="13.8" x14ac:dyDescent="0.3">
      <c r="A39" s="109" t="s">
        <v>353</v>
      </c>
      <c r="B39" s="112" t="s">
        <v>82</v>
      </c>
      <c r="C39" s="110" t="s">
        <v>350</v>
      </c>
    </row>
    <row r="40" spans="1:3" ht="13.8" x14ac:dyDescent="0.3">
      <c r="A40" s="109" t="s">
        <v>354</v>
      </c>
      <c r="B40" s="112" t="s">
        <v>60</v>
      </c>
      <c r="C40" s="110" t="s">
        <v>349</v>
      </c>
    </row>
    <row r="41" spans="1:3" ht="13.8" x14ac:dyDescent="0.3">
      <c r="A41" s="109" t="s">
        <v>355</v>
      </c>
      <c r="B41" s="112" t="s">
        <v>107</v>
      </c>
      <c r="C41" s="110" t="s">
        <v>914</v>
      </c>
    </row>
    <row r="42" spans="1:3" ht="13.8" x14ac:dyDescent="0.3">
      <c r="A42" s="109" t="s">
        <v>356</v>
      </c>
      <c r="B42" s="112" t="s">
        <v>772</v>
      </c>
      <c r="C42" s="110" t="s">
        <v>961</v>
      </c>
    </row>
    <row r="43" spans="1:3" ht="13.8" x14ac:dyDescent="0.3">
      <c r="A43" s="109" t="s">
        <v>357</v>
      </c>
      <c r="B43" s="113" t="s">
        <v>851</v>
      </c>
      <c r="C43" s="110" t="s">
        <v>362</v>
      </c>
    </row>
    <row r="44" spans="1:3" ht="13.8" x14ac:dyDescent="0.3">
      <c r="A44" s="115" t="s">
        <v>358</v>
      </c>
      <c r="B44" s="113" t="s">
        <v>730</v>
      </c>
      <c r="C44" s="116" t="s">
        <v>363</v>
      </c>
    </row>
    <row r="45" spans="1:3" ht="13.8" x14ac:dyDescent="0.3">
      <c r="A45" s="109" t="s">
        <v>359</v>
      </c>
      <c r="B45" s="114" t="s">
        <v>1</v>
      </c>
      <c r="C45" s="110" t="s">
        <v>915</v>
      </c>
    </row>
    <row r="46" spans="1:3" ht="13.8" x14ac:dyDescent="0.3">
      <c r="A46" s="109" t="s">
        <v>360</v>
      </c>
      <c r="B46" s="114" t="s">
        <v>62</v>
      </c>
      <c r="C46" s="110" t="s">
        <v>364</v>
      </c>
    </row>
    <row r="47" spans="1:3" ht="13.8" x14ac:dyDescent="0.3">
      <c r="A47" s="109" t="s">
        <v>361</v>
      </c>
      <c r="B47" s="114" t="s">
        <v>912</v>
      </c>
      <c r="C47" s="110" t="s">
        <v>916</v>
      </c>
    </row>
    <row r="48" spans="1:3" customFormat="1" x14ac:dyDescent="0.3"/>
    <row r="49" spans="2:5" ht="15.6" x14ac:dyDescent="0.3">
      <c r="B49" s="117" t="s">
        <v>856</v>
      </c>
      <c r="C49" s="117"/>
    </row>
    <row r="50" spans="2:5" ht="13.8" x14ac:dyDescent="0.3">
      <c r="B50" s="109" t="s">
        <v>866</v>
      </c>
      <c r="C50" s="109"/>
    </row>
    <row r="51" spans="2:5" ht="13.8" x14ac:dyDescent="0.3">
      <c r="B51" s="109" t="s">
        <v>861</v>
      </c>
      <c r="C51" s="109"/>
    </row>
    <row r="52" spans="2:5" ht="13.8" x14ac:dyDescent="0.3">
      <c r="B52" s="109" t="s">
        <v>859</v>
      </c>
      <c r="C52" s="109"/>
    </row>
    <row r="53" spans="2:5" ht="13.8" x14ac:dyDescent="0.3">
      <c r="B53" s="109" t="s">
        <v>860</v>
      </c>
      <c r="C53" s="109"/>
    </row>
    <row r="54" spans="2:5" ht="13.8" x14ac:dyDescent="0.3">
      <c r="B54" s="109" t="s">
        <v>857</v>
      </c>
      <c r="C54" s="109"/>
    </row>
    <row r="55" spans="2:5" x14ac:dyDescent="0.3">
      <c r="B55" s="292" t="s">
        <v>858</v>
      </c>
    </row>
    <row r="57" spans="2:5" x14ac:dyDescent="0.3">
      <c r="C57" s="109"/>
    </row>
    <row r="61" spans="2:5" x14ac:dyDescent="0.3">
      <c r="D61"/>
      <c r="E61"/>
    </row>
    <row r="65" spans="4:5" x14ac:dyDescent="0.3">
      <c r="D65"/>
      <c r="E65"/>
    </row>
    <row r="69" spans="4:5" customFormat="1" x14ac:dyDescent="0.3"/>
  </sheetData>
  <mergeCells count="1">
    <mergeCell ref="D14:D1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sheetPr>
  <dimension ref="A1:M257"/>
  <sheetViews>
    <sheetView tabSelected="1" zoomScale="70" zoomScaleNormal="70" workbookViewId="0">
      <selection activeCell="J177" sqref="J177:L177"/>
    </sheetView>
  </sheetViews>
  <sheetFormatPr defaultColWidth="8.77734375" defaultRowHeight="14.4" x14ac:dyDescent="0.3"/>
  <cols>
    <col min="1" max="1" width="17.5546875" style="16" customWidth="1"/>
    <col min="2" max="2" width="37.6640625" style="15" customWidth="1"/>
    <col min="3" max="3" width="10.21875" style="34" customWidth="1"/>
    <col min="4" max="4" width="7.21875" style="34" customWidth="1"/>
    <col min="5" max="5" width="10.44140625" style="16" customWidth="1"/>
    <col min="6" max="6" width="21.21875" style="16" customWidth="1"/>
    <col min="7" max="7" width="54.21875" style="16" customWidth="1"/>
    <col min="8" max="8" width="24.77734375" style="16" bestFit="1" customWidth="1"/>
    <col min="9" max="9" width="39.21875" style="16" customWidth="1"/>
    <col min="10" max="10" width="12.109375" style="34" customWidth="1"/>
    <col min="11" max="11" width="11" style="15" customWidth="1"/>
    <col min="12" max="12" width="143.21875" style="16" customWidth="1"/>
    <col min="13" max="13" width="25.6640625" style="15" customWidth="1"/>
    <col min="14" max="14" width="29.21875" customWidth="1"/>
    <col min="15" max="15" width="12.33203125" customWidth="1"/>
    <col min="16" max="16" width="11.21875" customWidth="1"/>
    <col min="17" max="17" width="12.44140625" bestFit="1" customWidth="1"/>
  </cols>
  <sheetData>
    <row r="1" spans="1:13" ht="15.6" x14ac:dyDescent="0.3">
      <c r="A1" s="296" t="s">
        <v>769</v>
      </c>
      <c r="B1" s="72"/>
      <c r="D1" s="518"/>
      <c r="F1" s="519"/>
      <c r="G1"/>
      <c r="H1" s="7"/>
      <c r="I1" s="81"/>
      <c r="J1" s="470"/>
      <c r="K1"/>
      <c r="L1" s="13"/>
    </row>
    <row r="2" spans="1:13" x14ac:dyDescent="0.3">
      <c r="B2" s="50"/>
      <c r="G2"/>
      <c r="H2"/>
      <c r="I2"/>
      <c r="J2"/>
      <c r="K2"/>
      <c r="L2" s="13"/>
      <c r="M2" s="16"/>
    </row>
    <row r="3" spans="1:13" ht="28.8" x14ac:dyDescent="0.3">
      <c r="A3" s="517" t="s">
        <v>732</v>
      </c>
      <c r="B3" s="351" t="s">
        <v>59</v>
      </c>
      <c r="C3" s="46" t="s">
        <v>263</v>
      </c>
      <c r="D3" s="46" t="s">
        <v>82</v>
      </c>
      <c r="E3" s="46" t="s">
        <v>60</v>
      </c>
      <c r="F3" s="46" t="s">
        <v>107</v>
      </c>
      <c r="G3" s="46" t="s">
        <v>772</v>
      </c>
      <c r="H3" s="351" t="s">
        <v>733</v>
      </c>
      <c r="I3" s="351" t="s">
        <v>730</v>
      </c>
      <c r="J3" s="351" t="s">
        <v>1</v>
      </c>
      <c r="K3" s="46" t="s">
        <v>62</v>
      </c>
      <c r="L3" s="46" t="s">
        <v>912</v>
      </c>
      <c r="M3" s="49"/>
    </row>
    <row r="4" spans="1:13" ht="28.8" x14ac:dyDescent="0.3">
      <c r="A4" s="550" t="s">
        <v>61</v>
      </c>
      <c r="B4" s="268" t="s">
        <v>68</v>
      </c>
      <c r="C4" s="407">
        <f>SUM(C5:C21)</f>
        <v>165.02061855670104</v>
      </c>
      <c r="D4" s="300"/>
      <c r="E4" s="297" t="s">
        <v>69</v>
      </c>
      <c r="F4" s="295" t="s">
        <v>100</v>
      </c>
      <c r="G4" s="40"/>
      <c r="H4" s="16" t="s">
        <v>7</v>
      </c>
      <c r="I4" s="50" t="s">
        <v>731</v>
      </c>
      <c r="J4" s="250">
        <v>1</v>
      </c>
      <c r="K4" s="41" t="s">
        <v>3</v>
      </c>
      <c r="L4" s="414"/>
      <c r="M4" s="41"/>
    </row>
    <row r="5" spans="1:13" x14ac:dyDescent="0.3">
      <c r="A5" s="550"/>
      <c r="B5" s="108" t="s">
        <v>74</v>
      </c>
      <c r="C5" s="34">
        <v>22.33</v>
      </c>
      <c r="D5" s="90">
        <f>C5/$C$4</f>
        <v>0.13531642406447178</v>
      </c>
      <c r="E5" s="16" t="s">
        <v>3</v>
      </c>
      <c r="F5" s="17" t="s">
        <v>100</v>
      </c>
      <c r="H5" s="16" t="s">
        <v>5</v>
      </c>
      <c r="I5" s="131" t="s">
        <v>12</v>
      </c>
      <c r="J5" s="135">
        <f>D5</f>
        <v>0.13531642406447178</v>
      </c>
      <c r="K5" s="15" t="s">
        <v>3</v>
      </c>
      <c r="L5" s="16" t="s">
        <v>370</v>
      </c>
    </row>
    <row r="6" spans="1:13" ht="128.55000000000001" customHeight="1" x14ac:dyDescent="0.3">
      <c r="A6" s="550"/>
      <c r="B6" s="108"/>
      <c r="D6" s="90"/>
      <c r="F6" s="17"/>
      <c r="H6" s="16" t="s">
        <v>5</v>
      </c>
      <c r="I6" s="5" t="s">
        <v>515</v>
      </c>
      <c r="J6" s="135">
        <f>J5</f>
        <v>0.13531642406447178</v>
      </c>
      <c r="K6" s="15" t="s">
        <v>3</v>
      </c>
      <c r="L6" s="72" t="s">
        <v>934</v>
      </c>
    </row>
    <row r="7" spans="1:13" x14ac:dyDescent="0.3">
      <c r="A7" s="550"/>
      <c r="B7" s="108" t="s">
        <v>75</v>
      </c>
      <c r="C7" s="19">
        <f>C5*0.03/0.97</f>
        <v>0.69061855670103089</v>
      </c>
      <c r="D7" s="90">
        <f>C7/$C$4</f>
        <v>4.185044043231086E-3</v>
      </c>
      <c r="E7" s="16" t="s">
        <v>3</v>
      </c>
      <c r="F7" s="17" t="s">
        <v>100</v>
      </c>
      <c r="G7"/>
      <c r="H7" s="16" t="s">
        <v>5</v>
      </c>
      <c r="I7" t="s">
        <v>336</v>
      </c>
      <c r="J7" s="135">
        <f>D7</f>
        <v>4.185044043231086E-3</v>
      </c>
      <c r="K7" s="15" t="s">
        <v>3</v>
      </c>
    </row>
    <row r="8" spans="1:13" x14ac:dyDescent="0.3">
      <c r="A8" s="550"/>
      <c r="B8" s="108"/>
      <c r="C8" s="19"/>
      <c r="D8" s="90"/>
      <c r="F8" s="17"/>
      <c r="H8" s="16" t="s">
        <v>5</v>
      </c>
      <c r="I8" s="16" t="s">
        <v>329</v>
      </c>
      <c r="J8" s="135">
        <f>J7</f>
        <v>4.185044043231086E-3</v>
      </c>
      <c r="K8" s="15" t="s">
        <v>3</v>
      </c>
      <c r="L8" s="415" t="s">
        <v>335</v>
      </c>
    </row>
    <row r="9" spans="1:13" x14ac:dyDescent="0.3">
      <c r="A9" s="550"/>
      <c r="B9" s="108" t="s">
        <v>76</v>
      </c>
      <c r="C9" s="34">
        <v>0.09</v>
      </c>
      <c r="D9" s="90">
        <f>C9/$C$4</f>
        <v>5.4538639345286428E-4</v>
      </c>
      <c r="E9" s="16" t="s">
        <v>3</v>
      </c>
      <c r="F9" s="17" t="s">
        <v>100</v>
      </c>
      <c r="G9" s="139"/>
      <c r="H9" s="16" t="s">
        <v>5</v>
      </c>
      <c r="I9" s="139" t="s">
        <v>53</v>
      </c>
      <c r="J9" s="467">
        <f>D9</f>
        <v>5.4538639345286428E-4</v>
      </c>
      <c r="K9" s="15" t="s">
        <v>3</v>
      </c>
    </row>
    <row r="10" spans="1:13" ht="14.55" customHeight="1" x14ac:dyDescent="0.3">
      <c r="A10" s="550"/>
      <c r="B10" s="108"/>
      <c r="D10" s="90"/>
      <c r="F10" s="17"/>
      <c r="G10" s="140"/>
      <c r="H10" s="16" t="s">
        <v>5</v>
      </c>
      <c r="I10" s="140" t="s">
        <v>14</v>
      </c>
      <c r="J10" s="468">
        <f>J9</f>
        <v>5.4538639345286428E-4</v>
      </c>
      <c r="K10" s="15" t="s">
        <v>3</v>
      </c>
      <c r="L10" s="16" t="s">
        <v>497</v>
      </c>
    </row>
    <row r="11" spans="1:13" ht="28.8" x14ac:dyDescent="0.3">
      <c r="A11" s="550"/>
      <c r="B11" s="108" t="s">
        <v>341</v>
      </c>
      <c r="C11" s="34">
        <f>C9*0.25/0.75</f>
        <v>0.03</v>
      </c>
      <c r="D11" s="90">
        <f>C11/$C$4</f>
        <v>1.8179546448428811E-4</v>
      </c>
      <c r="E11" s="16" t="s">
        <v>3</v>
      </c>
      <c r="F11" s="17" t="s">
        <v>100</v>
      </c>
      <c r="G11" s="61"/>
      <c r="H11" s="16" t="s">
        <v>5</v>
      </c>
      <c r="I11" s="61" t="s">
        <v>495</v>
      </c>
      <c r="J11" s="469">
        <f>D11</f>
        <v>1.8179546448428811E-4</v>
      </c>
      <c r="K11" s="15" t="s">
        <v>3</v>
      </c>
      <c r="L11" s="25" t="s">
        <v>496</v>
      </c>
    </row>
    <row r="12" spans="1:13" x14ac:dyDescent="0.3">
      <c r="A12" s="550"/>
      <c r="B12" s="108" t="s">
        <v>63</v>
      </c>
      <c r="C12" s="34">
        <v>1.02</v>
      </c>
      <c r="D12" s="90">
        <f>C12/$C$4</f>
        <v>6.1810457924657957E-3</v>
      </c>
      <c r="E12" s="16" t="s">
        <v>3</v>
      </c>
      <c r="F12" s="17" t="s">
        <v>40</v>
      </c>
      <c r="G12" s="16" t="s">
        <v>108</v>
      </c>
      <c r="H12" s="16" t="s">
        <v>5</v>
      </c>
      <c r="I12" s="200" t="s">
        <v>147</v>
      </c>
      <c r="J12" s="135">
        <f>D12</f>
        <v>6.1810457924657957E-3</v>
      </c>
      <c r="K12" s="15" t="s">
        <v>3</v>
      </c>
    </row>
    <row r="13" spans="1:13" x14ac:dyDescent="0.3">
      <c r="A13" s="550"/>
      <c r="B13" s="108"/>
      <c r="D13" s="90"/>
      <c r="F13" s="17"/>
      <c r="H13" s="16" t="s">
        <v>5</v>
      </c>
      <c r="I13" s="16" t="s">
        <v>31</v>
      </c>
      <c r="J13" s="135">
        <f>J12</f>
        <v>6.1810457924657957E-3</v>
      </c>
      <c r="K13" s="15" t="s">
        <v>3</v>
      </c>
    </row>
    <row r="14" spans="1:13" ht="28.8" x14ac:dyDescent="0.3">
      <c r="A14" s="550"/>
      <c r="B14" s="108" t="s">
        <v>77</v>
      </c>
      <c r="C14" s="34">
        <f>7.1/2</f>
        <v>3.55</v>
      </c>
      <c r="D14" s="90">
        <f>C14/$C$4</f>
        <v>2.1512463297307428E-2</v>
      </c>
      <c r="E14" s="16" t="s">
        <v>3</v>
      </c>
      <c r="F14" s="17" t="s">
        <v>100</v>
      </c>
      <c r="G14" s="13" t="s">
        <v>311</v>
      </c>
      <c r="H14" s="16" t="s">
        <v>5</v>
      </c>
      <c r="I14" s="5" t="s">
        <v>327</v>
      </c>
      <c r="J14" s="135">
        <f>D14</f>
        <v>2.1512463297307428E-2</v>
      </c>
      <c r="K14" s="15" t="s">
        <v>3</v>
      </c>
    </row>
    <row r="15" spans="1:13" ht="28.8" x14ac:dyDescent="0.3">
      <c r="A15" s="550"/>
      <c r="B15" s="108" t="s">
        <v>78</v>
      </c>
      <c r="C15" s="34">
        <f>7.1/2</f>
        <v>3.55</v>
      </c>
      <c r="D15" s="90">
        <f>C15/$C$4</f>
        <v>2.1512463297307428E-2</v>
      </c>
      <c r="E15" s="16" t="s">
        <v>3</v>
      </c>
      <c r="F15" s="17" t="s">
        <v>100</v>
      </c>
      <c r="G15" s="13" t="s">
        <v>311</v>
      </c>
      <c r="H15" s="25" t="s">
        <v>5</v>
      </c>
      <c r="I15" s="16" t="s">
        <v>328</v>
      </c>
      <c r="J15" s="135">
        <f>D15</f>
        <v>2.1512463297307428E-2</v>
      </c>
      <c r="K15" s="15" t="s">
        <v>3</v>
      </c>
    </row>
    <row r="16" spans="1:13" ht="28.8" x14ac:dyDescent="0.3">
      <c r="A16" s="550"/>
      <c r="B16" s="108" t="s">
        <v>64</v>
      </c>
      <c r="C16" s="34">
        <v>0.2</v>
      </c>
      <c r="D16" s="90">
        <f>C16/$C$4</f>
        <v>1.2119697632285876E-3</v>
      </c>
      <c r="E16" s="16" t="s">
        <v>3</v>
      </c>
      <c r="F16" s="17" t="s">
        <v>100</v>
      </c>
      <c r="H16" s="16" t="s">
        <v>5</v>
      </c>
      <c r="I16" s="11" t="s">
        <v>12</v>
      </c>
      <c r="J16" s="135">
        <f>D16</f>
        <v>1.2119697632285876E-3</v>
      </c>
      <c r="K16" s="15" t="s">
        <v>3</v>
      </c>
      <c r="L16" s="16" t="s">
        <v>340</v>
      </c>
    </row>
    <row r="17" spans="1:13" x14ac:dyDescent="0.3">
      <c r="A17" s="550"/>
      <c r="B17" s="108"/>
      <c r="D17" s="90"/>
      <c r="F17" s="17"/>
      <c r="I17" t="s">
        <v>13</v>
      </c>
      <c r="J17" s="135">
        <f>J16</f>
        <v>1.2119697632285876E-3</v>
      </c>
      <c r="K17" s="15" t="s">
        <v>3</v>
      </c>
      <c r="L17" s="16" t="s">
        <v>371</v>
      </c>
    </row>
    <row r="18" spans="1:13" x14ac:dyDescent="0.3">
      <c r="A18" s="550"/>
      <c r="B18" s="108" t="s">
        <v>65</v>
      </c>
      <c r="C18" s="34">
        <v>4</v>
      </c>
      <c r="D18" s="90">
        <f>C18/$C$4</f>
        <v>2.423939526457175E-2</v>
      </c>
      <c r="E18" s="16" t="s">
        <v>3</v>
      </c>
      <c r="F18" s="17" t="s">
        <v>100</v>
      </c>
      <c r="H18" s="16" t="s">
        <v>5</v>
      </c>
      <c r="I18" s="11" t="s">
        <v>741</v>
      </c>
      <c r="J18" s="135">
        <f>D18</f>
        <v>2.423939526457175E-2</v>
      </c>
      <c r="K18" s="15" t="s">
        <v>3</v>
      </c>
    </row>
    <row r="19" spans="1:13" x14ac:dyDescent="0.3">
      <c r="A19" s="550"/>
      <c r="B19" s="108" t="s">
        <v>66</v>
      </c>
      <c r="C19" s="34">
        <v>0.71</v>
      </c>
      <c r="D19" s="90">
        <f>C19/$C$4</f>
        <v>4.3024926594614852E-3</v>
      </c>
      <c r="E19" s="16" t="s">
        <v>3</v>
      </c>
      <c r="F19" s="17" t="s">
        <v>100</v>
      </c>
      <c r="G19" s="25" t="s">
        <v>343</v>
      </c>
      <c r="H19" s="16" t="s">
        <v>5</v>
      </c>
      <c r="I19" s="11" t="s">
        <v>337</v>
      </c>
      <c r="J19" s="135">
        <f>D19</f>
        <v>4.3024926594614852E-3</v>
      </c>
      <c r="K19" s="15" t="s">
        <v>3</v>
      </c>
    </row>
    <row r="20" spans="1:13" x14ac:dyDescent="0.3">
      <c r="A20" s="550"/>
      <c r="B20" s="108" t="s">
        <v>72</v>
      </c>
      <c r="C20" s="520">
        <f>C66</f>
        <v>9.0599999999999987</v>
      </c>
      <c r="D20" s="90">
        <f>C20/$C$4</f>
        <v>5.4902230274255004E-2</v>
      </c>
      <c r="E20" s="16" t="s">
        <v>3</v>
      </c>
      <c r="F20" s="17" t="s">
        <v>40</v>
      </c>
      <c r="H20" s="16" t="s">
        <v>5</v>
      </c>
      <c r="I20" s="11" t="s">
        <v>734</v>
      </c>
      <c r="J20" s="135">
        <f>D20</f>
        <v>5.4902230274255004E-2</v>
      </c>
      <c r="K20" s="15" t="s">
        <v>3</v>
      </c>
    </row>
    <row r="21" spans="1:13" ht="15" x14ac:dyDescent="0.3">
      <c r="A21" s="550"/>
      <c r="B21" s="267" t="s">
        <v>537</v>
      </c>
      <c r="C21" s="521">
        <f>C79</f>
        <v>119.79</v>
      </c>
      <c r="D21" s="185">
        <f>C21/$C$4</f>
        <v>0.72590928968576252</v>
      </c>
      <c r="E21" s="140"/>
      <c r="F21" s="140"/>
      <c r="G21" s="140"/>
      <c r="H21" s="72"/>
      <c r="I21" s="11" t="s">
        <v>745</v>
      </c>
      <c r="J21" s="135">
        <f>D21</f>
        <v>0.72590928968576252</v>
      </c>
      <c r="K21" s="105"/>
      <c r="L21" s="231"/>
      <c r="M21" s="105"/>
    </row>
    <row r="22" spans="1:13" ht="30" x14ac:dyDescent="0.3">
      <c r="A22" s="550"/>
      <c r="B22" s="267"/>
      <c r="C22" s="276"/>
      <c r="D22" s="90"/>
      <c r="E22" s="140"/>
      <c r="F22" s="140"/>
      <c r="G22" s="140"/>
      <c r="H22" s="16" t="s">
        <v>5</v>
      </c>
      <c r="I22" s="11" t="s">
        <v>381</v>
      </c>
      <c r="J22" s="251">
        <f>1/(40000*300/140*165*50)</f>
        <v>1.4141414141414143E-9</v>
      </c>
      <c r="K22" s="105" t="s">
        <v>22</v>
      </c>
      <c r="L22" s="231" t="s">
        <v>660</v>
      </c>
      <c r="M22" s="105"/>
    </row>
    <row r="23" spans="1:13" ht="57.6" x14ac:dyDescent="0.3">
      <c r="A23" s="551"/>
      <c r="B23" s="201" t="s">
        <v>67</v>
      </c>
      <c r="C23" s="206">
        <v>1E-3</v>
      </c>
      <c r="D23" s="206" t="s">
        <v>69</v>
      </c>
      <c r="E23" s="207" t="s">
        <v>109</v>
      </c>
      <c r="F23" s="208" t="s">
        <v>257</v>
      </c>
      <c r="G23" s="202" t="s">
        <v>768</v>
      </c>
      <c r="H23" s="202" t="s">
        <v>5</v>
      </c>
      <c r="I23" s="203" t="s">
        <v>298</v>
      </c>
      <c r="J23" s="252">
        <f>C23*MJ_to_kWh</f>
        <v>2.7777800000000001E-4</v>
      </c>
      <c r="K23" s="203" t="s">
        <v>4</v>
      </c>
      <c r="L23" s="202" t="s">
        <v>197</v>
      </c>
      <c r="M23" s="203"/>
    </row>
    <row r="24" spans="1:13" ht="28.8" x14ac:dyDescent="0.3">
      <c r="A24" s="550" t="s">
        <v>736</v>
      </c>
      <c r="B24" s="166" t="s">
        <v>420</v>
      </c>
      <c r="C24" s="218">
        <v>1</v>
      </c>
      <c r="D24" s="11"/>
      <c r="E24" s="11" t="s">
        <v>3</v>
      </c>
      <c r="F24" s="5" t="s">
        <v>478</v>
      </c>
      <c r="G24" s="5" t="s">
        <v>441</v>
      </c>
      <c r="H24" s="11"/>
      <c r="I24" s="121" t="s">
        <v>741</v>
      </c>
      <c r="J24" s="218">
        <v>1</v>
      </c>
      <c r="K24" s="121" t="s">
        <v>3</v>
      </c>
      <c r="L24" s="5"/>
      <c r="M24" s="11"/>
    </row>
    <row r="25" spans="1:13" ht="72" x14ac:dyDescent="0.3">
      <c r="A25" s="550"/>
      <c r="B25" s="166" t="s">
        <v>421</v>
      </c>
      <c r="C25" s="218">
        <v>8.8999999999999996E-2</v>
      </c>
      <c r="D25" s="11"/>
      <c r="E25" s="11" t="s">
        <v>3</v>
      </c>
      <c r="F25" s="5" t="s">
        <v>478</v>
      </c>
      <c r="G25" s="11" t="s">
        <v>434</v>
      </c>
      <c r="H25" s="5" t="s">
        <v>5</v>
      </c>
      <c r="I25" s="5" t="s">
        <v>435</v>
      </c>
      <c r="J25" s="218">
        <f>C25</f>
        <v>8.8999999999999996E-2</v>
      </c>
      <c r="K25" s="121" t="s">
        <v>3</v>
      </c>
      <c r="L25" s="5" t="s">
        <v>477</v>
      </c>
      <c r="M25" s="11"/>
    </row>
    <row r="26" spans="1:13" ht="28.8" x14ac:dyDescent="0.3">
      <c r="A26" s="550"/>
      <c r="B26" s="166" t="s">
        <v>422</v>
      </c>
      <c r="C26" s="218">
        <v>0.48</v>
      </c>
      <c r="D26" s="11"/>
      <c r="E26" s="11" t="s">
        <v>3</v>
      </c>
      <c r="F26" s="5" t="s">
        <v>478</v>
      </c>
      <c r="G26" s="11"/>
      <c r="H26" s="5" t="s">
        <v>5</v>
      </c>
      <c r="I26" s="5" t="s">
        <v>742</v>
      </c>
      <c r="J26" s="218">
        <f t="shared" ref="J26:J32" si="0">C26</f>
        <v>0.48</v>
      </c>
      <c r="K26" s="121" t="s">
        <v>3</v>
      </c>
      <c r="L26" s="5"/>
      <c r="M26" s="11"/>
    </row>
    <row r="27" spans="1:13" ht="28.8" x14ac:dyDescent="0.3">
      <c r="A27" s="550"/>
      <c r="B27" s="166" t="s">
        <v>423</v>
      </c>
      <c r="C27" s="218">
        <v>3.0000000000000001E-3</v>
      </c>
      <c r="D27" s="11"/>
      <c r="E27" s="11" t="s">
        <v>3</v>
      </c>
      <c r="F27" s="5" t="s">
        <v>478</v>
      </c>
      <c r="G27" s="11" t="s">
        <v>457</v>
      </c>
      <c r="H27" s="5" t="s">
        <v>5</v>
      </c>
      <c r="I27" s="5" t="s">
        <v>480</v>
      </c>
      <c r="J27" s="218">
        <f t="shared" si="0"/>
        <v>3.0000000000000001E-3</v>
      </c>
      <c r="K27" s="121" t="s">
        <v>3</v>
      </c>
      <c r="L27" s="5" t="s">
        <v>498</v>
      </c>
      <c r="M27" s="11"/>
    </row>
    <row r="28" spans="1:13" ht="28.8" x14ac:dyDescent="0.3">
      <c r="A28" s="550"/>
      <c r="B28" s="166"/>
      <c r="C28" s="218"/>
      <c r="D28" s="11"/>
      <c r="E28" s="11"/>
      <c r="F28" s="5" t="s">
        <v>478</v>
      </c>
      <c r="G28" s="5" t="s">
        <v>458</v>
      </c>
      <c r="H28" s="5" t="s">
        <v>5</v>
      </c>
      <c r="I28" s="5" t="s">
        <v>482</v>
      </c>
      <c r="J28" s="218">
        <f>J27</f>
        <v>3.0000000000000001E-3</v>
      </c>
      <c r="K28" s="121" t="s">
        <v>3</v>
      </c>
      <c r="L28" s="5"/>
      <c r="M28" s="11"/>
    </row>
    <row r="29" spans="1:13" ht="28.8" x14ac:dyDescent="0.3">
      <c r="A29" s="550"/>
      <c r="B29" s="166" t="s">
        <v>424</v>
      </c>
      <c r="C29" s="218">
        <v>0.3</v>
      </c>
      <c r="D29" s="11"/>
      <c r="E29" s="11" t="s">
        <v>3</v>
      </c>
      <c r="F29" s="5" t="s">
        <v>478</v>
      </c>
      <c r="G29" s="11"/>
      <c r="H29" s="5" t="s">
        <v>5</v>
      </c>
      <c r="I29" s="5" t="s">
        <v>737</v>
      </c>
      <c r="J29" s="218">
        <f t="shared" si="0"/>
        <v>0.3</v>
      </c>
      <c r="K29" s="121" t="s">
        <v>3</v>
      </c>
      <c r="L29" s="5"/>
      <c r="M29" s="11"/>
    </row>
    <row r="30" spans="1:13" ht="28.8" x14ac:dyDescent="0.3">
      <c r="A30" s="550"/>
      <c r="B30" s="186" t="s">
        <v>425</v>
      </c>
      <c r="C30" s="218">
        <v>0.13</v>
      </c>
      <c r="D30" s="11"/>
      <c r="E30" s="11" t="s">
        <v>3</v>
      </c>
      <c r="F30" s="5" t="s">
        <v>478</v>
      </c>
      <c r="G30" s="11"/>
      <c r="H30" s="5" t="s">
        <v>5</v>
      </c>
      <c r="I30" s="5" t="s">
        <v>738</v>
      </c>
      <c r="J30" s="218">
        <f t="shared" si="0"/>
        <v>0.13</v>
      </c>
      <c r="K30" s="5" t="s">
        <v>3</v>
      </c>
      <c r="L30" s="5"/>
      <c r="M30" s="11"/>
    </row>
    <row r="31" spans="1:13" x14ac:dyDescent="0.3">
      <c r="A31" s="514"/>
      <c r="B31" s="203"/>
      <c r="C31" s="258"/>
      <c r="D31" s="203"/>
      <c r="E31" s="203"/>
      <c r="F31" s="202"/>
      <c r="G31" s="203"/>
      <c r="H31" s="203"/>
      <c r="I31" s="4" t="s">
        <v>658</v>
      </c>
      <c r="J31" s="236">
        <v>2E-8</v>
      </c>
      <c r="K31" s="4" t="s">
        <v>22</v>
      </c>
      <c r="L31" s="202" t="s">
        <v>662</v>
      </c>
      <c r="M31" s="203"/>
    </row>
    <row r="32" spans="1:13" ht="28.95" customHeight="1" x14ac:dyDescent="0.3">
      <c r="A32" s="557" t="s">
        <v>739</v>
      </c>
      <c r="B32" s="11" t="s">
        <v>422</v>
      </c>
      <c r="C32" s="218">
        <v>1</v>
      </c>
      <c r="D32" s="11"/>
      <c r="E32" s="11" t="s">
        <v>3</v>
      </c>
      <c r="F32" s="5" t="s">
        <v>478</v>
      </c>
      <c r="G32" s="5" t="s">
        <v>455</v>
      </c>
      <c r="H32" s="5" t="s">
        <v>7</v>
      </c>
      <c r="I32" s="5" t="s">
        <v>742</v>
      </c>
      <c r="J32" s="253">
        <f t="shared" si="0"/>
        <v>1</v>
      </c>
      <c r="K32" s="11" t="s">
        <v>3</v>
      </c>
      <c r="L32" s="5"/>
      <c r="M32" s="11"/>
    </row>
    <row r="33" spans="1:13" ht="28.8" x14ac:dyDescent="0.3">
      <c r="A33" s="550"/>
      <c r="B33" s="11" t="s">
        <v>445</v>
      </c>
      <c r="C33" s="10">
        <v>2.0000000000000001E-4</v>
      </c>
      <c r="D33" s="11"/>
      <c r="E33" s="11" t="s">
        <v>3</v>
      </c>
      <c r="F33" s="5" t="s">
        <v>478</v>
      </c>
      <c r="G33" s="11"/>
      <c r="H33" s="11" t="s">
        <v>5</v>
      </c>
      <c r="I33" s="5" t="s">
        <v>476</v>
      </c>
      <c r="J33" s="253">
        <f>C33</f>
        <v>2.0000000000000001E-4</v>
      </c>
      <c r="K33" s="11" t="s">
        <v>3</v>
      </c>
      <c r="L33" s="5"/>
      <c r="M33" s="11"/>
    </row>
    <row r="34" spans="1:13" ht="72" x14ac:dyDescent="0.3">
      <c r="A34" s="550"/>
      <c r="B34" s="11" t="s">
        <v>446</v>
      </c>
      <c r="C34" s="10">
        <v>0.11</v>
      </c>
      <c r="D34" s="11"/>
      <c r="E34" s="11" t="s">
        <v>3</v>
      </c>
      <c r="F34" s="5" t="s">
        <v>478</v>
      </c>
      <c r="G34" s="11"/>
      <c r="H34" s="11" t="s">
        <v>5</v>
      </c>
      <c r="I34" s="5" t="s">
        <v>435</v>
      </c>
      <c r="J34" s="253">
        <f t="shared" ref="J34:J43" si="1">C34</f>
        <v>0.11</v>
      </c>
      <c r="K34" s="11" t="s">
        <v>3</v>
      </c>
      <c r="L34" s="5" t="s">
        <v>477</v>
      </c>
      <c r="M34" s="11"/>
    </row>
    <row r="35" spans="1:13" ht="28.8" x14ac:dyDescent="0.3">
      <c r="A35" s="550"/>
      <c r="B35" s="11" t="s">
        <v>447</v>
      </c>
      <c r="C35" s="10">
        <v>1.7E-5</v>
      </c>
      <c r="D35" s="11"/>
      <c r="E35" s="11" t="s">
        <v>3</v>
      </c>
      <c r="F35" s="5" t="s">
        <v>478</v>
      </c>
      <c r="G35" s="11"/>
      <c r="H35" s="11" t="s">
        <v>5</v>
      </c>
      <c r="I35" s="5" t="s">
        <v>479</v>
      </c>
      <c r="J35" s="253">
        <f t="shared" si="1"/>
        <v>1.7E-5</v>
      </c>
      <c r="K35" s="11" t="s">
        <v>3</v>
      </c>
      <c r="L35" s="5"/>
      <c r="M35" s="11"/>
    </row>
    <row r="36" spans="1:13" ht="28.8" x14ac:dyDescent="0.3">
      <c r="A36" s="550"/>
      <c r="B36" s="11" t="s">
        <v>448</v>
      </c>
      <c r="C36" s="10">
        <v>0.85</v>
      </c>
      <c r="D36" s="11"/>
      <c r="E36" s="11" t="s">
        <v>3</v>
      </c>
      <c r="F36" s="5" t="s">
        <v>478</v>
      </c>
      <c r="G36" s="11"/>
      <c r="H36" s="11" t="s">
        <v>5</v>
      </c>
      <c r="I36" s="5" t="s">
        <v>480</v>
      </c>
      <c r="J36" s="253">
        <f t="shared" si="1"/>
        <v>0.85</v>
      </c>
      <c r="K36" s="11" t="s">
        <v>3</v>
      </c>
      <c r="L36" s="5" t="s">
        <v>498</v>
      </c>
      <c r="M36" s="11"/>
    </row>
    <row r="37" spans="1:13" ht="28.8" x14ac:dyDescent="0.3">
      <c r="A37" s="550"/>
      <c r="B37" s="11" t="s">
        <v>917</v>
      </c>
      <c r="C37" s="10">
        <v>0.85</v>
      </c>
      <c r="D37" s="11"/>
      <c r="E37" s="11" t="s">
        <v>3</v>
      </c>
      <c r="F37" s="5" t="s">
        <v>478</v>
      </c>
      <c r="G37" s="11"/>
      <c r="H37" s="11" t="s">
        <v>5</v>
      </c>
      <c r="I37" s="5" t="s">
        <v>482</v>
      </c>
      <c r="J37" s="253">
        <f t="shared" si="1"/>
        <v>0.85</v>
      </c>
      <c r="K37" s="11" t="s">
        <v>3</v>
      </c>
      <c r="L37" s="5"/>
      <c r="M37" s="11"/>
    </row>
    <row r="38" spans="1:13" ht="12.45" customHeight="1" x14ac:dyDescent="0.3">
      <c r="A38" s="550"/>
      <c r="B38" s="11" t="s">
        <v>451</v>
      </c>
      <c r="C38" s="10">
        <v>2.1000000000000001E-2</v>
      </c>
      <c r="D38" s="11"/>
      <c r="E38" s="11" t="s">
        <v>3</v>
      </c>
      <c r="F38" s="5" t="s">
        <v>478</v>
      </c>
      <c r="G38" s="11"/>
      <c r="H38" s="11" t="s">
        <v>5</v>
      </c>
      <c r="I38" s="13" t="s">
        <v>483</v>
      </c>
      <c r="J38" s="253">
        <f t="shared" si="1"/>
        <v>2.1000000000000001E-2</v>
      </c>
      <c r="K38" s="11" t="s">
        <v>3</v>
      </c>
      <c r="L38" s="5"/>
      <c r="M38" s="11"/>
    </row>
    <row r="39" spans="1:13" ht="28.8" x14ac:dyDescent="0.3">
      <c r="A39" s="550"/>
      <c r="B39" s="11" t="s">
        <v>452</v>
      </c>
      <c r="C39" s="10">
        <v>6.7999999999999996E-3</v>
      </c>
      <c r="D39" s="11"/>
      <c r="E39" s="11" t="s">
        <v>3</v>
      </c>
      <c r="F39" s="5" t="s">
        <v>478</v>
      </c>
      <c r="G39" s="11"/>
      <c r="H39" s="11" t="s">
        <v>5</v>
      </c>
      <c r="I39" s="5" t="s">
        <v>273</v>
      </c>
      <c r="J39" s="253">
        <f t="shared" si="1"/>
        <v>6.7999999999999996E-3</v>
      </c>
      <c r="K39" s="11" t="s">
        <v>3</v>
      </c>
      <c r="L39" s="5"/>
      <c r="M39" s="11"/>
    </row>
    <row r="40" spans="1:13" ht="28.8" x14ac:dyDescent="0.3">
      <c r="A40" s="550"/>
      <c r="B40" s="11" t="s">
        <v>453</v>
      </c>
      <c r="C40" s="10">
        <f>0.0019</f>
        <v>1.9E-3</v>
      </c>
      <c r="D40" s="11"/>
      <c r="E40" s="11" t="s">
        <v>3</v>
      </c>
      <c r="F40" s="5" t="s">
        <v>478</v>
      </c>
      <c r="G40" s="11"/>
      <c r="H40" s="11" t="s">
        <v>5</v>
      </c>
      <c r="I40" s="5" t="s">
        <v>484</v>
      </c>
      <c r="J40" s="253">
        <f t="shared" si="1"/>
        <v>1.9E-3</v>
      </c>
      <c r="K40" s="11" t="s">
        <v>3</v>
      </c>
      <c r="L40" s="5"/>
      <c r="M40" s="11"/>
    </row>
    <row r="41" spans="1:13" ht="28.8" x14ac:dyDescent="0.3">
      <c r="A41" s="550"/>
      <c r="B41" s="11" t="s">
        <v>449</v>
      </c>
      <c r="C41" s="10">
        <f>SUM(C40,C39,C33)</f>
        <v>8.8999999999999999E-3</v>
      </c>
      <c r="D41" s="11"/>
      <c r="E41" s="11" t="s">
        <v>3</v>
      </c>
      <c r="F41" s="5" t="s">
        <v>478</v>
      </c>
      <c r="G41" s="11"/>
      <c r="H41" s="11" t="s">
        <v>5</v>
      </c>
      <c r="I41" s="5" t="s">
        <v>481</v>
      </c>
      <c r="J41" s="253">
        <f>C41</f>
        <v>8.8999999999999999E-3</v>
      </c>
      <c r="K41" s="11" t="s">
        <v>3</v>
      </c>
      <c r="L41" s="5"/>
      <c r="M41" s="11"/>
    </row>
    <row r="42" spans="1:13" ht="14.55" customHeight="1" x14ac:dyDescent="0.3">
      <c r="A42" s="550"/>
      <c r="B42" s="11" t="s">
        <v>500</v>
      </c>
      <c r="C42" s="10">
        <v>5.7000000000000002E-3</v>
      </c>
      <c r="D42" s="11"/>
      <c r="E42" s="11" t="s">
        <v>3</v>
      </c>
      <c r="F42" s="5" t="s">
        <v>478</v>
      </c>
      <c r="G42" s="11"/>
      <c r="H42" s="11" t="s">
        <v>5</v>
      </c>
      <c r="I42" t="s">
        <v>485</v>
      </c>
      <c r="J42" s="253">
        <f t="shared" si="1"/>
        <v>5.7000000000000002E-3</v>
      </c>
      <c r="K42" s="11" t="s">
        <v>3</v>
      </c>
      <c r="L42" s="5"/>
      <c r="M42" s="11"/>
    </row>
    <row r="43" spans="1:13" ht="28.8" x14ac:dyDescent="0.3">
      <c r="A43" s="550"/>
      <c r="B43" s="11" t="s">
        <v>450</v>
      </c>
      <c r="C43" s="10">
        <v>5.7000000000000002E-3</v>
      </c>
      <c r="D43" s="11"/>
      <c r="E43" s="11" t="s">
        <v>3</v>
      </c>
      <c r="F43" s="5" t="s">
        <v>478</v>
      </c>
      <c r="G43" s="11"/>
      <c r="H43" s="11" t="s">
        <v>5</v>
      </c>
      <c r="I43" s="11" t="s">
        <v>486</v>
      </c>
      <c r="J43" s="253">
        <f t="shared" si="1"/>
        <v>5.7000000000000002E-3</v>
      </c>
      <c r="K43" s="11" t="s">
        <v>3</v>
      </c>
      <c r="L43" s="5"/>
      <c r="M43" s="11"/>
    </row>
    <row r="44" spans="1:13" x14ac:dyDescent="0.3">
      <c r="A44" s="551"/>
      <c r="B44" s="203"/>
      <c r="C44" s="258"/>
      <c r="D44" s="203"/>
      <c r="E44" s="203"/>
      <c r="F44" s="202"/>
      <c r="G44" s="203"/>
      <c r="H44" s="203" t="s">
        <v>5</v>
      </c>
      <c r="I44" s="4" t="s">
        <v>658</v>
      </c>
      <c r="J44" s="236">
        <v>2E-8</v>
      </c>
      <c r="K44" s="4" t="s">
        <v>22</v>
      </c>
      <c r="L44" s="202" t="s">
        <v>662</v>
      </c>
      <c r="M44" s="203"/>
    </row>
    <row r="45" spans="1:13" ht="28.8" x14ac:dyDescent="0.3">
      <c r="A45" s="557" t="s">
        <v>740</v>
      </c>
      <c r="B45" s="11" t="s">
        <v>442</v>
      </c>
      <c r="C45" s="218">
        <v>1</v>
      </c>
      <c r="D45" s="11"/>
      <c r="E45" s="11"/>
      <c r="F45" s="5" t="s">
        <v>478</v>
      </c>
      <c r="G45" s="5"/>
      <c r="H45" s="11" t="s">
        <v>7</v>
      </c>
      <c r="I45" s="5" t="s">
        <v>737</v>
      </c>
      <c r="J45" s="253">
        <v>1</v>
      </c>
      <c r="K45" s="11" t="s">
        <v>3</v>
      </c>
      <c r="L45" s="5"/>
      <c r="M45" s="11"/>
    </row>
    <row r="46" spans="1:13" ht="28.8" x14ac:dyDescent="0.3">
      <c r="A46" s="550"/>
      <c r="B46" s="11" t="s">
        <v>459</v>
      </c>
      <c r="C46" s="218">
        <v>1.4E-3</v>
      </c>
      <c r="D46" s="11"/>
      <c r="E46" s="11" t="s">
        <v>3</v>
      </c>
      <c r="F46" s="5" t="s">
        <v>478</v>
      </c>
      <c r="G46" s="11"/>
      <c r="H46" s="11" t="s">
        <v>5</v>
      </c>
      <c r="I46" s="5" t="s">
        <v>480</v>
      </c>
      <c r="J46" s="253">
        <f>C46</f>
        <v>1.4E-3</v>
      </c>
      <c r="K46" s="11" t="s">
        <v>3</v>
      </c>
      <c r="L46" s="5"/>
      <c r="M46" s="11"/>
    </row>
    <row r="47" spans="1:13" ht="28.8" x14ac:dyDescent="0.3">
      <c r="A47" s="550"/>
      <c r="B47" s="11" t="s">
        <v>454</v>
      </c>
      <c r="C47" s="218">
        <v>1.4E-3</v>
      </c>
      <c r="D47" s="11"/>
      <c r="E47" s="11" t="s">
        <v>3</v>
      </c>
      <c r="F47" s="5" t="s">
        <v>478</v>
      </c>
      <c r="G47" s="11"/>
      <c r="H47" s="11" t="s">
        <v>5</v>
      </c>
      <c r="I47" s="5" t="s">
        <v>482</v>
      </c>
      <c r="J47" s="253">
        <f t="shared" ref="J47:J59" si="2">C47</f>
        <v>1.4E-3</v>
      </c>
      <c r="K47" s="11" t="s">
        <v>3</v>
      </c>
      <c r="L47" s="5"/>
      <c r="M47" s="11"/>
    </row>
    <row r="48" spans="1:13" ht="28.8" x14ac:dyDescent="0.3">
      <c r="A48" s="550"/>
      <c r="B48" s="5" t="s">
        <v>488</v>
      </c>
      <c r="C48" s="218">
        <v>0.12</v>
      </c>
      <c r="D48" s="11"/>
      <c r="E48" s="11" t="s">
        <v>3</v>
      </c>
      <c r="F48" s="5" t="s">
        <v>478</v>
      </c>
      <c r="G48" s="11"/>
      <c r="H48" s="11" t="s">
        <v>5</v>
      </c>
      <c r="I48" s="5" t="s">
        <v>12</v>
      </c>
      <c r="J48" s="253">
        <f t="shared" si="2"/>
        <v>0.12</v>
      </c>
      <c r="K48" s="11" t="s">
        <v>3</v>
      </c>
      <c r="L48" s="5"/>
      <c r="M48" s="11"/>
    </row>
    <row r="49" spans="1:13" ht="28.8" x14ac:dyDescent="0.3">
      <c r="A49" s="550"/>
      <c r="B49" s="11" t="s">
        <v>461</v>
      </c>
      <c r="C49" s="218">
        <v>0.12</v>
      </c>
      <c r="D49" s="11"/>
      <c r="E49" s="11" t="s">
        <v>3</v>
      </c>
      <c r="F49" s="5" t="s">
        <v>478</v>
      </c>
      <c r="G49" s="11"/>
      <c r="H49" s="11" t="s">
        <v>5</v>
      </c>
      <c r="I49" s="5" t="s">
        <v>487</v>
      </c>
      <c r="J49" s="253">
        <f t="shared" si="2"/>
        <v>0.12</v>
      </c>
      <c r="K49" s="11" t="s">
        <v>3</v>
      </c>
      <c r="L49" s="5"/>
      <c r="M49" s="11"/>
    </row>
    <row r="50" spans="1:13" ht="28.8" x14ac:dyDescent="0.3">
      <c r="A50" s="550"/>
      <c r="B50" s="11" t="s">
        <v>465</v>
      </c>
      <c r="C50" s="218">
        <v>4.3999999999999997E-2</v>
      </c>
      <c r="D50" s="11"/>
      <c r="E50" s="11" t="s">
        <v>3</v>
      </c>
      <c r="F50" s="5" t="s">
        <v>478</v>
      </c>
      <c r="G50" s="11"/>
      <c r="H50" s="11" t="s">
        <v>5</v>
      </c>
      <c r="I50" s="5" t="s">
        <v>489</v>
      </c>
      <c r="J50" s="253">
        <f t="shared" si="2"/>
        <v>4.3999999999999997E-2</v>
      </c>
      <c r="K50" s="11" t="s">
        <v>3</v>
      </c>
      <c r="L50" s="5"/>
      <c r="M50" s="11"/>
    </row>
    <row r="51" spans="1:13" ht="28.8" x14ac:dyDescent="0.3">
      <c r="A51" s="550"/>
      <c r="B51" s="11" t="s">
        <v>466</v>
      </c>
      <c r="C51" s="218">
        <v>3.5999999999999999E-3</v>
      </c>
      <c r="D51" s="11"/>
      <c r="E51" s="11" t="s">
        <v>3</v>
      </c>
      <c r="F51" s="5" t="s">
        <v>478</v>
      </c>
      <c r="G51" s="11"/>
      <c r="H51" s="11" t="s">
        <v>5</v>
      </c>
      <c r="I51" s="5" t="s">
        <v>504</v>
      </c>
      <c r="J51" s="253">
        <f t="shared" si="2"/>
        <v>3.5999999999999999E-3</v>
      </c>
      <c r="K51" s="11" t="s">
        <v>3</v>
      </c>
      <c r="L51" s="5"/>
      <c r="M51" s="11"/>
    </row>
    <row r="52" spans="1:13" ht="28.8" x14ac:dyDescent="0.3">
      <c r="A52" s="550"/>
      <c r="B52" s="11" t="s">
        <v>467</v>
      </c>
      <c r="C52" s="218">
        <v>5.7000000000000002E-2</v>
      </c>
      <c r="D52" s="11"/>
      <c r="E52" s="11" t="s">
        <v>3</v>
      </c>
      <c r="F52" s="5" t="s">
        <v>478</v>
      </c>
      <c r="G52" s="11"/>
      <c r="H52" s="11" t="s">
        <v>5</v>
      </c>
      <c r="I52" s="5" t="s">
        <v>273</v>
      </c>
      <c r="J52" s="253">
        <f t="shared" si="2"/>
        <v>5.7000000000000002E-2</v>
      </c>
      <c r="K52" s="11" t="s">
        <v>3</v>
      </c>
      <c r="L52" s="5"/>
      <c r="M52" s="11"/>
    </row>
    <row r="53" spans="1:13" ht="28.8" x14ac:dyDescent="0.3">
      <c r="A53" s="550"/>
      <c r="B53" s="11" t="s">
        <v>468</v>
      </c>
      <c r="C53" s="218">
        <v>0.27</v>
      </c>
      <c r="D53" s="11"/>
      <c r="E53" s="11" t="s">
        <v>3</v>
      </c>
      <c r="F53" s="5" t="s">
        <v>478</v>
      </c>
      <c r="G53" s="11"/>
      <c r="H53" s="11" t="s">
        <v>5</v>
      </c>
      <c r="I53" s="5" t="s">
        <v>53</v>
      </c>
      <c r="J53" s="253">
        <f t="shared" si="2"/>
        <v>0.27</v>
      </c>
      <c r="K53" s="11" t="s">
        <v>3</v>
      </c>
      <c r="L53" s="573" t="s">
        <v>490</v>
      </c>
      <c r="M53" s="11"/>
    </row>
    <row r="54" spans="1:13" ht="28.8" x14ac:dyDescent="0.3">
      <c r="A54" s="550"/>
      <c r="B54" s="11" t="s">
        <v>463</v>
      </c>
      <c r="C54" s="218">
        <v>0.27</v>
      </c>
      <c r="D54" s="11"/>
      <c r="E54" s="11" t="s">
        <v>3</v>
      </c>
      <c r="F54" s="5" t="s">
        <v>478</v>
      </c>
      <c r="G54" s="11"/>
      <c r="H54" s="11" t="s">
        <v>5</v>
      </c>
      <c r="I54" s="5" t="s">
        <v>505</v>
      </c>
      <c r="J54" s="253">
        <f t="shared" si="2"/>
        <v>0.27</v>
      </c>
      <c r="K54" s="11" t="s">
        <v>3</v>
      </c>
      <c r="L54" s="573"/>
      <c r="M54" s="11"/>
    </row>
    <row r="55" spans="1:13" ht="28.8" x14ac:dyDescent="0.3">
      <c r="A55" s="550"/>
      <c r="B55" s="11" t="s">
        <v>469</v>
      </c>
      <c r="C55" s="218">
        <v>3.2000000000000001E-2</v>
      </c>
      <c r="D55" s="11"/>
      <c r="E55" s="11" t="s">
        <v>3</v>
      </c>
      <c r="F55" s="5" t="s">
        <v>478</v>
      </c>
      <c r="G55" s="11"/>
      <c r="H55" s="11" t="s">
        <v>5</v>
      </c>
      <c r="I55" s="5" t="s">
        <v>491</v>
      </c>
      <c r="J55" s="253">
        <f t="shared" si="2"/>
        <v>3.2000000000000001E-2</v>
      </c>
      <c r="K55" s="11" t="s">
        <v>3</v>
      </c>
      <c r="L55" s="5"/>
      <c r="M55" s="11"/>
    </row>
    <row r="56" spans="1:13" ht="28.8" x14ac:dyDescent="0.3">
      <c r="A56" s="550"/>
      <c r="B56" s="11" t="s">
        <v>470</v>
      </c>
      <c r="C56" s="218">
        <v>1.6E-2</v>
      </c>
      <c r="D56" s="11"/>
      <c r="E56" s="11" t="s">
        <v>3</v>
      </c>
      <c r="F56" s="5" t="s">
        <v>478</v>
      </c>
      <c r="G56" s="11"/>
      <c r="H56" s="11" t="s">
        <v>5</v>
      </c>
      <c r="I56" s="5" t="s">
        <v>492</v>
      </c>
      <c r="J56" s="253">
        <f t="shared" si="2"/>
        <v>1.6E-2</v>
      </c>
      <c r="K56" s="11" t="s">
        <v>3</v>
      </c>
      <c r="L56" s="5"/>
      <c r="M56" s="11"/>
    </row>
    <row r="57" spans="1:13" ht="28.8" x14ac:dyDescent="0.3">
      <c r="A57" s="550"/>
      <c r="B57" s="11" t="s">
        <v>464</v>
      </c>
      <c r="C57" s="218">
        <v>1.6E-2</v>
      </c>
      <c r="D57" s="11"/>
      <c r="E57" s="11" t="s">
        <v>3</v>
      </c>
      <c r="F57" s="5" t="s">
        <v>478</v>
      </c>
      <c r="G57" s="11"/>
      <c r="H57" s="11" t="s">
        <v>5</v>
      </c>
      <c r="I57" s="5" t="s">
        <v>493</v>
      </c>
      <c r="J57" s="218">
        <f t="shared" si="2"/>
        <v>1.6E-2</v>
      </c>
      <c r="K57" s="11" t="s">
        <v>3</v>
      </c>
      <c r="L57" s="5"/>
      <c r="M57" s="11"/>
    </row>
    <row r="58" spans="1:13" ht="28.8" x14ac:dyDescent="0.3">
      <c r="A58" s="550"/>
      <c r="B58" s="11" t="s">
        <v>460</v>
      </c>
      <c r="C58" s="218">
        <v>0.45</v>
      </c>
      <c r="D58" s="11"/>
      <c r="E58" s="11" t="s">
        <v>3</v>
      </c>
      <c r="F58" s="5" t="s">
        <v>478</v>
      </c>
      <c r="G58" s="11"/>
      <c r="H58" s="11" t="s">
        <v>5</v>
      </c>
      <c r="I58" s="5" t="s">
        <v>494</v>
      </c>
      <c r="J58" s="254">
        <f t="shared" si="2"/>
        <v>0.45</v>
      </c>
      <c r="K58" s="11" t="s">
        <v>3</v>
      </c>
      <c r="L58" s="5"/>
      <c r="M58" s="11"/>
    </row>
    <row r="59" spans="1:13" ht="28.8" x14ac:dyDescent="0.3">
      <c r="A59" s="550"/>
      <c r="B59" s="11" t="s">
        <v>462</v>
      </c>
      <c r="C59" s="218">
        <f>SUM(C55,C52,C51,C50)</f>
        <v>0.1366</v>
      </c>
      <c r="D59" s="11"/>
      <c r="E59" s="11" t="s">
        <v>3</v>
      </c>
      <c r="F59" s="5" t="s">
        <v>478</v>
      </c>
      <c r="G59" s="11"/>
      <c r="H59" s="11" t="s">
        <v>5</v>
      </c>
      <c r="I59" s="5" t="s">
        <v>481</v>
      </c>
      <c r="J59" s="218">
        <f t="shared" si="2"/>
        <v>0.1366</v>
      </c>
      <c r="K59" s="11" t="s">
        <v>3</v>
      </c>
      <c r="L59" s="5"/>
      <c r="M59" s="11"/>
    </row>
    <row r="60" spans="1:13" x14ac:dyDescent="0.3">
      <c r="A60" s="551"/>
      <c r="B60" s="203"/>
      <c r="C60" s="258"/>
      <c r="D60" s="203"/>
      <c r="E60" s="203"/>
      <c r="F60" s="202"/>
      <c r="G60" s="203"/>
      <c r="H60" s="203" t="s">
        <v>5</v>
      </c>
      <c r="I60" s="4" t="s">
        <v>658</v>
      </c>
      <c r="J60" s="4">
        <v>2E-8</v>
      </c>
      <c r="K60" s="4" t="s">
        <v>22</v>
      </c>
      <c r="L60" s="202"/>
      <c r="M60" s="203"/>
    </row>
    <row r="61" spans="1:13" ht="28.95" customHeight="1" x14ac:dyDescent="0.3">
      <c r="A61" s="557" t="s">
        <v>743</v>
      </c>
      <c r="B61" s="11" t="s">
        <v>472</v>
      </c>
      <c r="C61" s="218">
        <v>1</v>
      </c>
      <c r="D61" s="11"/>
      <c r="E61" s="11" t="s">
        <v>3</v>
      </c>
      <c r="F61" s="5" t="s">
        <v>478</v>
      </c>
      <c r="G61" s="11"/>
      <c r="H61" s="11" t="s">
        <v>7</v>
      </c>
      <c r="I61" s="5" t="s">
        <v>738</v>
      </c>
      <c r="J61" s="218">
        <v>1</v>
      </c>
      <c r="K61" s="11" t="s">
        <v>3</v>
      </c>
      <c r="L61" s="5"/>
      <c r="M61" s="11"/>
    </row>
    <row r="62" spans="1:13" ht="28.8" x14ac:dyDescent="0.3">
      <c r="A62" s="550"/>
      <c r="B62" s="11" t="s">
        <v>474</v>
      </c>
      <c r="C62" s="218">
        <v>2.9000000000000001E-2</v>
      </c>
      <c r="D62" s="11"/>
      <c r="E62" s="11" t="s">
        <v>3</v>
      </c>
      <c r="F62" s="5" t="s">
        <v>478</v>
      </c>
      <c r="G62" s="11"/>
      <c r="H62" s="11" t="s">
        <v>5</v>
      </c>
      <c r="I62" s="5" t="s">
        <v>484</v>
      </c>
      <c r="J62" s="218">
        <f>C62</f>
        <v>2.9000000000000001E-2</v>
      </c>
      <c r="K62" s="11" t="s">
        <v>3</v>
      </c>
      <c r="L62" s="5"/>
      <c r="M62" s="11"/>
    </row>
    <row r="63" spans="1:13" ht="28.8" x14ac:dyDescent="0.3">
      <c r="A63" s="550"/>
      <c r="B63" s="11" t="s">
        <v>473</v>
      </c>
      <c r="C63" s="218">
        <v>2.9000000000000001E-2</v>
      </c>
      <c r="D63" s="11"/>
      <c r="E63" s="11" t="s">
        <v>3</v>
      </c>
      <c r="F63" s="5" t="s">
        <v>478</v>
      </c>
      <c r="G63" s="11"/>
      <c r="H63" s="11" t="s">
        <v>5</v>
      </c>
      <c r="I63" s="5" t="s">
        <v>329</v>
      </c>
      <c r="J63" s="218">
        <f t="shared" ref="J63:J64" si="3">C63</f>
        <v>2.9000000000000001E-2</v>
      </c>
      <c r="K63" s="11" t="s">
        <v>3</v>
      </c>
      <c r="L63" s="5"/>
      <c r="M63" s="11"/>
    </row>
    <row r="64" spans="1:13" ht="28.8" x14ac:dyDescent="0.3">
      <c r="A64" s="550"/>
      <c r="B64" s="11" t="s">
        <v>475</v>
      </c>
      <c r="C64" s="218">
        <v>0.97</v>
      </c>
      <c r="D64" s="11"/>
      <c r="E64" s="11" t="s">
        <v>3</v>
      </c>
      <c r="F64" s="5" t="s">
        <v>478</v>
      </c>
      <c r="G64" s="11"/>
      <c r="H64" s="11" t="s">
        <v>5</v>
      </c>
      <c r="I64" s="5" t="s">
        <v>337</v>
      </c>
      <c r="J64" s="218">
        <f t="shared" si="3"/>
        <v>0.97</v>
      </c>
      <c r="K64" s="11" t="s">
        <v>3</v>
      </c>
      <c r="L64" s="5"/>
      <c r="M64" s="11"/>
    </row>
    <row r="65" spans="1:13" x14ac:dyDescent="0.3">
      <c r="A65" s="551"/>
      <c r="B65" s="203"/>
      <c r="C65" s="258"/>
      <c r="D65" s="203"/>
      <c r="E65" s="203"/>
      <c r="F65" s="202"/>
      <c r="G65" s="203"/>
      <c r="H65" s="203" t="s">
        <v>5</v>
      </c>
      <c r="I65" s="4" t="s">
        <v>658</v>
      </c>
      <c r="J65" s="4">
        <v>2E-8</v>
      </c>
      <c r="K65" s="4" t="s">
        <v>22</v>
      </c>
      <c r="L65" s="202"/>
      <c r="M65" s="203"/>
    </row>
    <row r="66" spans="1:13" x14ac:dyDescent="0.3">
      <c r="A66" s="550" t="s">
        <v>71</v>
      </c>
      <c r="B66" s="269" t="s">
        <v>744</v>
      </c>
      <c r="C66" s="522">
        <f>SUM(C67:C76)</f>
        <v>9.0599999999999987</v>
      </c>
      <c r="D66" s="300"/>
      <c r="E66" s="297" t="s">
        <v>69</v>
      </c>
      <c r="F66" s="295" t="s">
        <v>100</v>
      </c>
      <c r="G66" s="50"/>
      <c r="H66" s="50" t="s">
        <v>7</v>
      </c>
      <c r="I66" s="11" t="s">
        <v>734</v>
      </c>
      <c r="J66" s="51">
        <v>1</v>
      </c>
      <c r="K66" s="42" t="s">
        <v>3</v>
      </c>
      <c r="L66" s="50"/>
      <c r="M66" s="42"/>
    </row>
    <row r="67" spans="1:13" ht="14.55" customHeight="1" x14ac:dyDescent="0.3">
      <c r="A67" s="550"/>
      <c r="B67" s="108" t="s">
        <v>79</v>
      </c>
      <c r="C67" s="426">
        <v>0.43</v>
      </c>
      <c r="D67" s="302">
        <f>C67/$C$66</f>
        <v>4.746136865342164E-2</v>
      </c>
      <c r="E67" s="303" t="s">
        <v>3</v>
      </c>
      <c r="F67" s="17" t="s">
        <v>100</v>
      </c>
      <c r="G67" s="139"/>
      <c r="H67" s="16" t="s">
        <v>5</v>
      </c>
      <c r="I67" s="139" t="s">
        <v>53</v>
      </c>
      <c r="J67" s="136">
        <f>D67</f>
        <v>4.746136865342164E-2</v>
      </c>
      <c r="K67" s="42" t="s">
        <v>3</v>
      </c>
      <c r="L67" s="16" t="s">
        <v>497</v>
      </c>
    </row>
    <row r="68" spans="1:13" ht="14.55" customHeight="1" x14ac:dyDescent="0.3">
      <c r="A68" s="550"/>
      <c r="B68" s="108"/>
      <c r="C68" s="426"/>
      <c r="D68" s="302"/>
      <c r="E68" s="303"/>
      <c r="F68" s="17"/>
      <c r="G68" s="140"/>
      <c r="H68" s="16" t="s">
        <v>5</v>
      </c>
      <c r="I68" s="140" t="s">
        <v>14</v>
      </c>
      <c r="J68" s="141">
        <f>J67</f>
        <v>4.746136865342164E-2</v>
      </c>
      <c r="K68" s="42" t="s">
        <v>3</v>
      </c>
    </row>
    <row r="69" spans="1:13" ht="28.8" x14ac:dyDescent="0.3">
      <c r="A69" s="550"/>
      <c r="B69" s="108" t="s">
        <v>80</v>
      </c>
      <c r="C69" s="426">
        <v>0.11</v>
      </c>
      <c r="D69" s="302">
        <f>C69/$C$66</f>
        <v>1.2141280353200884E-2</v>
      </c>
      <c r="E69" s="303" t="s">
        <v>3</v>
      </c>
      <c r="F69" s="17" t="s">
        <v>100</v>
      </c>
      <c r="G69" s="61"/>
      <c r="H69" s="16" t="s">
        <v>5</v>
      </c>
      <c r="I69" s="61" t="s">
        <v>495</v>
      </c>
      <c r="J69" s="137">
        <f>D69</f>
        <v>1.2141280353200884E-2</v>
      </c>
      <c r="K69" s="42" t="s">
        <v>3</v>
      </c>
      <c r="L69" s="25" t="s">
        <v>496</v>
      </c>
    </row>
    <row r="70" spans="1:13" x14ac:dyDescent="0.3">
      <c r="A70" s="550"/>
      <c r="B70" s="108" t="s">
        <v>83</v>
      </c>
      <c r="C70" s="426">
        <v>3.26</v>
      </c>
      <c r="D70" s="302">
        <f>C70/$C$66</f>
        <v>0.3598233995584989</v>
      </c>
      <c r="E70" s="303" t="s">
        <v>3</v>
      </c>
      <c r="F70" s="17" t="s">
        <v>100</v>
      </c>
      <c r="H70" s="16" t="s">
        <v>5</v>
      </c>
      <c r="I70" s="131" t="s">
        <v>12</v>
      </c>
      <c r="J70" s="19">
        <f>D70</f>
        <v>0.3598233995584989</v>
      </c>
      <c r="K70" s="15" t="s">
        <v>3</v>
      </c>
      <c r="L70" s="16" t="s">
        <v>372</v>
      </c>
    </row>
    <row r="71" spans="1:13" x14ac:dyDescent="0.3">
      <c r="A71" s="550"/>
      <c r="B71" s="108"/>
      <c r="C71" s="426"/>
      <c r="D71" s="302"/>
      <c r="E71" s="303"/>
      <c r="F71" s="17"/>
      <c r="H71" s="16" t="s">
        <v>5</v>
      </c>
      <c r="I71" s="5" t="s">
        <v>516</v>
      </c>
      <c r="J71" s="19">
        <f>J70</f>
        <v>0.3598233995584989</v>
      </c>
      <c r="K71" s="15" t="s">
        <v>3</v>
      </c>
      <c r="L71" s="139" t="s">
        <v>514</v>
      </c>
    </row>
    <row r="72" spans="1:13" ht="43.2" x14ac:dyDescent="0.3">
      <c r="A72" s="550"/>
      <c r="B72" s="108" t="s">
        <v>84</v>
      </c>
      <c r="C72" s="426">
        <v>0.18</v>
      </c>
      <c r="D72" s="302">
        <f>C72/$C$66</f>
        <v>1.9867549668874173E-2</v>
      </c>
      <c r="E72" s="303" t="s">
        <v>3</v>
      </c>
      <c r="F72" s="17" t="s">
        <v>100</v>
      </c>
      <c r="G72" s="16" t="s">
        <v>770</v>
      </c>
      <c r="H72" s="16" t="s">
        <v>5</v>
      </c>
      <c r="I72" s="11" t="s">
        <v>336</v>
      </c>
      <c r="J72" s="19">
        <f>D72</f>
        <v>1.9867549668874173E-2</v>
      </c>
      <c r="K72" s="15" t="s">
        <v>3</v>
      </c>
    </row>
    <row r="73" spans="1:13" x14ac:dyDescent="0.3">
      <c r="A73" s="550"/>
      <c r="B73" s="108"/>
      <c r="C73" s="426"/>
      <c r="D73" s="302"/>
      <c r="E73" s="303"/>
      <c r="F73" s="17"/>
      <c r="H73" s="16" t="s">
        <v>5</v>
      </c>
      <c r="I73" s="16" t="s">
        <v>274</v>
      </c>
      <c r="J73" s="19">
        <f>J72</f>
        <v>1.9867549668874173E-2</v>
      </c>
      <c r="K73" s="15" t="s">
        <v>3</v>
      </c>
    </row>
    <row r="74" spans="1:13" x14ac:dyDescent="0.3">
      <c r="A74" s="550"/>
      <c r="B74" s="108" t="s">
        <v>81</v>
      </c>
      <c r="C74" s="426">
        <v>3.96</v>
      </c>
      <c r="D74" s="302">
        <f>C74/$C$66</f>
        <v>0.43708609271523186</v>
      </c>
      <c r="E74" s="303" t="s">
        <v>3</v>
      </c>
      <c r="F74" s="17" t="s">
        <v>100</v>
      </c>
      <c r="H74" s="16" t="s">
        <v>5</v>
      </c>
      <c r="I74" s="11" t="s">
        <v>12</v>
      </c>
      <c r="J74" s="19">
        <f>D74</f>
        <v>0.43708609271523186</v>
      </c>
      <c r="K74" s="15" t="s">
        <v>3</v>
      </c>
    </row>
    <row r="75" spans="1:13" x14ac:dyDescent="0.3">
      <c r="A75" s="550"/>
      <c r="B75" s="108"/>
      <c r="C75" s="426"/>
      <c r="D75" s="302"/>
      <c r="E75" s="303"/>
      <c r="F75" s="17"/>
      <c r="H75" s="16" t="s">
        <v>5</v>
      </c>
      <c r="I75" t="s">
        <v>13</v>
      </c>
      <c r="J75" s="19">
        <f>J74</f>
        <v>0.43708609271523186</v>
      </c>
      <c r="K75" s="15" t="s">
        <v>3</v>
      </c>
    </row>
    <row r="76" spans="1:13" x14ac:dyDescent="0.3">
      <c r="A76" s="550"/>
      <c r="B76" s="108" t="s">
        <v>338</v>
      </c>
      <c r="C76" s="426">
        <v>1.1200000000000001</v>
      </c>
      <c r="D76" s="302">
        <f>C76/$C$66</f>
        <v>0.12362030905077266</v>
      </c>
      <c r="E76" s="303" t="s">
        <v>3</v>
      </c>
      <c r="F76" s="17" t="s">
        <v>100</v>
      </c>
      <c r="G76" s="16" t="s">
        <v>339</v>
      </c>
      <c r="H76" s="16" t="s">
        <v>5</v>
      </c>
      <c r="I76" s="16" t="s">
        <v>337</v>
      </c>
      <c r="J76" s="19">
        <f>D76</f>
        <v>0.12362030905077266</v>
      </c>
      <c r="K76" s="15" t="s">
        <v>3</v>
      </c>
    </row>
    <row r="77" spans="1:13" ht="15" x14ac:dyDescent="0.3">
      <c r="A77" s="550"/>
      <c r="B77" s="267"/>
      <c r="C77" s="276"/>
      <c r="D77" s="276"/>
      <c r="E77" s="140"/>
      <c r="F77" s="140"/>
      <c r="G77" s="140"/>
      <c r="H77" s="72" t="s">
        <v>5</v>
      </c>
      <c r="I77" s="140" t="s">
        <v>381</v>
      </c>
      <c r="J77" s="251">
        <v>4.5800000000000002E-10</v>
      </c>
      <c r="K77" s="105" t="s">
        <v>22</v>
      </c>
      <c r="L77" s="231" t="s">
        <v>995</v>
      </c>
      <c r="M77" s="105"/>
    </row>
    <row r="78" spans="1:13" ht="12.45" customHeight="1" x14ac:dyDescent="0.3">
      <c r="A78" s="402"/>
      <c r="B78" s="106" t="s">
        <v>85</v>
      </c>
      <c r="C78" s="255" t="s">
        <v>69</v>
      </c>
      <c r="D78" s="304" t="s">
        <v>69</v>
      </c>
      <c r="E78" s="89" t="s">
        <v>4</v>
      </c>
      <c r="F78" s="107"/>
      <c r="G78" s="89" t="s">
        <v>342</v>
      </c>
      <c r="H78" s="89" t="s">
        <v>5</v>
      </c>
      <c r="I78" s="305" t="s">
        <v>69</v>
      </c>
      <c r="J78" s="255" t="s">
        <v>69</v>
      </c>
      <c r="K78" s="73"/>
      <c r="L78" s="89"/>
      <c r="M78" s="73"/>
    </row>
    <row r="79" spans="1:13" ht="15" x14ac:dyDescent="0.3">
      <c r="A79" s="552" t="s">
        <v>11</v>
      </c>
      <c r="B79" s="56" t="s">
        <v>70</v>
      </c>
      <c r="C79" s="523">
        <f>SUM(C80:C94)</f>
        <v>119.79</v>
      </c>
      <c r="D79" s="51"/>
      <c r="E79" s="524" t="s">
        <v>3</v>
      </c>
      <c r="F79" s="295" t="s">
        <v>100</v>
      </c>
      <c r="G79" s="50"/>
      <c r="H79" s="270" t="s">
        <v>7</v>
      </c>
      <c r="I79" s="275" t="s">
        <v>745</v>
      </c>
      <c r="J79" s="272">
        <v>1</v>
      </c>
      <c r="K79" s="42" t="s">
        <v>3</v>
      </c>
      <c r="L79" s="50"/>
      <c r="M79" s="42"/>
    </row>
    <row r="80" spans="1:13" ht="15" x14ac:dyDescent="0.3">
      <c r="A80" s="553"/>
      <c r="B80" s="18" t="s">
        <v>10</v>
      </c>
      <c r="C80" s="34">
        <v>17.52</v>
      </c>
      <c r="D80" s="30">
        <f t="shared" ref="D80:D86" si="4">C80/$C$79</f>
        <v>0.14625594790884047</v>
      </c>
      <c r="E80" s="307" t="s">
        <v>3</v>
      </c>
      <c r="F80" s="17" t="s">
        <v>100</v>
      </c>
      <c r="G80" s="23"/>
      <c r="H80" s="271" t="s">
        <v>5</v>
      </c>
      <c r="I80" s="525" t="s">
        <v>746</v>
      </c>
      <c r="J80" s="273">
        <f t="shared" ref="J80:J86" si="5">D80</f>
        <v>0.14625594790884047</v>
      </c>
      <c r="K80" s="15" t="s">
        <v>3</v>
      </c>
      <c r="L80" s="534"/>
      <c r="M80" s="24"/>
    </row>
    <row r="81" spans="1:13" ht="14.55" customHeight="1" x14ac:dyDescent="0.3">
      <c r="A81" s="553"/>
      <c r="B81" s="18" t="s">
        <v>9</v>
      </c>
      <c r="C81" s="34">
        <v>2.1</v>
      </c>
      <c r="D81" s="30">
        <f t="shared" si="4"/>
        <v>1.7530678687703482E-2</v>
      </c>
      <c r="E81" s="307" t="s">
        <v>3</v>
      </c>
      <c r="F81" s="17" t="s">
        <v>100</v>
      </c>
      <c r="G81" s="23" t="s">
        <v>771</v>
      </c>
      <c r="H81" s="271" t="s">
        <v>5</v>
      </c>
      <c r="I81" s="5" t="s">
        <v>762</v>
      </c>
      <c r="J81" s="274">
        <f t="shared" si="5"/>
        <v>1.7530678687703482E-2</v>
      </c>
      <c r="K81" s="15" t="s">
        <v>3</v>
      </c>
      <c r="M81" s="24"/>
    </row>
    <row r="82" spans="1:13" ht="58.05" customHeight="1" x14ac:dyDescent="0.3">
      <c r="A82" s="553"/>
      <c r="B82" s="18" t="s">
        <v>591</v>
      </c>
      <c r="C82" s="34">
        <f>24.4</f>
        <v>24.4</v>
      </c>
      <c r="D82" s="30">
        <f t="shared" si="4"/>
        <v>0.20368979046664995</v>
      </c>
      <c r="E82" s="307" t="s">
        <v>3</v>
      </c>
      <c r="F82" s="17" t="s">
        <v>374</v>
      </c>
      <c r="G82" s="570" t="s">
        <v>773</v>
      </c>
      <c r="H82" s="271" t="s">
        <v>5</v>
      </c>
      <c r="I82" s="5" t="s">
        <v>747</v>
      </c>
      <c r="J82" s="274">
        <f>D82</f>
        <v>0.20368979046664995</v>
      </c>
      <c r="K82" s="15" t="s">
        <v>3</v>
      </c>
      <c r="L82" s="535"/>
      <c r="M82" s="24"/>
    </row>
    <row r="83" spans="1:13" ht="31.5" customHeight="1" x14ac:dyDescent="0.3">
      <c r="A83" s="553"/>
      <c r="B83" s="18" t="s">
        <v>593</v>
      </c>
      <c r="C83" s="34">
        <v>14.83</v>
      </c>
      <c r="D83" s="30">
        <f t="shared" si="4"/>
        <v>0.12379998330411553</v>
      </c>
      <c r="E83" s="307" t="s">
        <v>3</v>
      </c>
      <c r="F83" s="214"/>
      <c r="G83" s="571"/>
      <c r="H83" s="271" t="s">
        <v>5</v>
      </c>
      <c r="I83" s="5" t="s">
        <v>748</v>
      </c>
      <c r="J83" s="274">
        <f>D83</f>
        <v>0.12379998330411553</v>
      </c>
      <c r="K83" s="15" t="s">
        <v>3</v>
      </c>
      <c r="L83" s="535"/>
      <c r="M83" s="24"/>
    </row>
    <row r="84" spans="1:13" ht="43.2" x14ac:dyDescent="0.3">
      <c r="A84" s="553"/>
      <c r="B84" s="18" t="s">
        <v>599</v>
      </c>
      <c r="C84" s="526">
        <f>46.65</f>
        <v>46.65</v>
      </c>
      <c r="D84" s="318">
        <f t="shared" si="4"/>
        <v>0.38943150513398445</v>
      </c>
      <c r="E84" s="307" t="s">
        <v>3</v>
      </c>
      <c r="F84" s="17" t="s">
        <v>374</v>
      </c>
      <c r="G84" s="570" t="s">
        <v>774</v>
      </c>
      <c r="H84" s="271" t="s">
        <v>5</v>
      </c>
      <c r="I84" s="275" t="s">
        <v>749</v>
      </c>
      <c r="J84" s="274">
        <f>((C84+C85)*93/100)/C79</f>
        <v>0.41185825194089648</v>
      </c>
      <c r="K84" s="15" t="s">
        <v>3</v>
      </c>
      <c r="L84" s="536"/>
      <c r="M84" s="26"/>
    </row>
    <row r="85" spans="1:13" ht="40.049999999999997" customHeight="1" x14ac:dyDescent="0.3">
      <c r="A85" s="553"/>
      <c r="B85" s="18" t="s">
        <v>594</v>
      </c>
      <c r="C85" s="526">
        <v>6.4</v>
      </c>
      <c r="D85" s="318">
        <f t="shared" si="4"/>
        <v>5.3426830286334416E-2</v>
      </c>
      <c r="E85" s="307" t="s">
        <v>3</v>
      </c>
      <c r="F85" s="17"/>
      <c r="G85" s="571"/>
      <c r="H85" s="271" t="s">
        <v>5</v>
      </c>
      <c r="I85" s="5" t="s">
        <v>750</v>
      </c>
      <c r="J85" s="274">
        <f>((C84+C85)*7/100)/C79</f>
        <v>3.1000083479422319E-2</v>
      </c>
      <c r="K85" s="15" t="s">
        <v>3</v>
      </c>
      <c r="L85" s="535"/>
      <c r="M85" s="26"/>
    </row>
    <row r="86" spans="1:13" x14ac:dyDescent="0.3">
      <c r="A86" s="553"/>
      <c r="B86" s="18" t="s">
        <v>115</v>
      </c>
      <c r="C86" s="19">
        <f>0.49*0.69</f>
        <v>0.33809999999999996</v>
      </c>
      <c r="D86" s="30">
        <f t="shared" si="4"/>
        <v>2.82243926872026E-3</v>
      </c>
      <c r="E86" s="307" t="s">
        <v>3</v>
      </c>
      <c r="F86" s="17" t="s">
        <v>100</v>
      </c>
      <c r="G86" s="23" t="s">
        <v>318</v>
      </c>
      <c r="H86" s="23" t="s">
        <v>5</v>
      </c>
      <c r="I86" t="s">
        <v>273</v>
      </c>
      <c r="J86" s="256">
        <f t="shared" si="5"/>
        <v>2.82243926872026E-3</v>
      </c>
      <c r="K86" s="15" t="s">
        <v>3</v>
      </c>
      <c r="M86" s="24"/>
    </row>
    <row r="87" spans="1:13" x14ac:dyDescent="0.3">
      <c r="A87" s="553"/>
      <c r="B87" s="18"/>
      <c r="C87" s="19"/>
      <c r="D87" s="30"/>
      <c r="E87" s="307"/>
      <c r="F87" s="17"/>
      <c r="G87" s="23"/>
      <c r="H87" s="23" t="s">
        <v>5</v>
      </c>
      <c r="I87" s="16" t="s">
        <v>274</v>
      </c>
      <c r="J87" s="256">
        <f>J86</f>
        <v>2.82243926872026E-3</v>
      </c>
      <c r="L87" s="16" t="s">
        <v>276</v>
      </c>
      <c r="M87" s="24"/>
    </row>
    <row r="88" spans="1:13" x14ac:dyDescent="0.3">
      <c r="A88" s="553"/>
      <c r="B88" s="18" t="s">
        <v>116</v>
      </c>
      <c r="C88" s="19">
        <f>0.49*0.31</f>
        <v>0.15190000000000001</v>
      </c>
      <c r="D88" s="30">
        <f>C88/$C$79</f>
        <v>1.2680524250772184E-3</v>
      </c>
      <c r="E88" s="307" t="s">
        <v>3</v>
      </c>
      <c r="F88" s="17" t="s">
        <v>100</v>
      </c>
      <c r="G88" s="23" t="s">
        <v>319</v>
      </c>
      <c r="H88" s="23" t="s">
        <v>5</v>
      </c>
      <c r="I88" t="s">
        <v>275</v>
      </c>
      <c r="J88" s="256">
        <f>D88</f>
        <v>1.2680524250772184E-3</v>
      </c>
      <c r="K88" s="15" t="s">
        <v>3</v>
      </c>
      <c r="M88" s="24"/>
    </row>
    <row r="89" spans="1:13" x14ac:dyDescent="0.3">
      <c r="A89" s="553"/>
      <c r="B89" s="18"/>
      <c r="C89" s="19"/>
      <c r="D89" s="30"/>
      <c r="E89" s="307"/>
      <c r="F89" s="17"/>
      <c r="G89" s="23"/>
      <c r="H89" s="23" t="s">
        <v>5</v>
      </c>
      <c r="I89" s="16" t="s">
        <v>274</v>
      </c>
      <c r="J89" s="256">
        <f>J88</f>
        <v>1.2680524250772184E-3</v>
      </c>
      <c r="L89" s="16" t="s">
        <v>276</v>
      </c>
      <c r="M89" s="24"/>
    </row>
    <row r="90" spans="1:13" x14ac:dyDescent="0.3">
      <c r="A90" s="553"/>
      <c r="B90" s="18" t="s">
        <v>110</v>
      </c>
      <c r="C90" s="34">
        <v>2.1800000000000002</v>
      </c>
      <c r="D90" s="30">
        <f>C90/$C$79</f>
        <v>1.8198514066282662E-2</v>
      </c>
      <c r="E90" s="307" t="s">
        <v>3</v>
      </c>
      <c r="F90" s="17" t="s">
        <v>100</v>
      </c>
      <c r="G90" s="23" t="s">
        <v>269</v>
      </c>
      <c r="H90" s="23" t="s">
        <v>5</v>
      </c>
      <c r="I90" s="11" t="s">
        <v>12</v>
      </c>
      <c r="J90" s="256">
        <f>D90</f>
        <v>1.8198514066282662E-2</v>
      </c>
      <c r="K90" s="15" t="s">
        <v>3</v>
      </c>
      <c r="M90" s="24"/>
    </row>
    <row r="91" spans="1:13" x14ac:dyDescent="0.3">
      <c r="A91" s="553"/>
      <c r="B91" s="18"/>
      <c r="D91" s="30"/>
      <c r="E91" s="307"/>
      <c r="F91" s="17"/>
      <c r="G91" s="23"/>
      <c r="H91" s="23" t="s">
        <v>5</v>
      </c>
      <c r="I91" t="s">
        <v>13</v>
      </c>
      <c r="J91" s="256">
        <f>J90</f>
        <v>1.8198514066282662E-2</v>
      </c>
      <c r="M91" s="24"/>
    </row>
    <row r="92" spans="1:13" x14ac:dyDescent="0.3">
      <c r="A92" s="553"/>
      <c r="B92" s="18" t="s">
        <v>111</v>
      </c>
      <c r="C92" s="34">
        <v>1.21</v>
      </c>
      <c r="D92" s="30">
        <f>C92/$C$79</f>
        <v>1.01010101010101E-2</v>
      </c>
      <c r="E92" s="307" t="s">
        <v>3</v>
      </c>
      <c r="F92" s="17" t="s">
        <v>100</v>
      </c>
      <c r="G92" s="23"/>
      <c r="H92" s="23" t="s">
        <v>5</v>
      </c>
      <c r="I92" t="s">
        <v>12</v>
      </c>
      <c r="J92" s="256">
        <f>D92</f>
        <v>1.01010101010101E-2</v>
      </c>
      <c r="K92" s="15" t="s">
        <v>3</v>
      </c>
      <c r="M92" s="24"/>
    </row>
    <row r="93" spans="1:13" x14ac:dyDescent="0.3">
      <c r="A93" s="553"/>
      <c r="B93" s="18"/>
      <c r="D93" s="30"/>
      <c r="E93" s="307"/>
      <c r="F93" s="17"/>
      <c r="G93" s="23"/>
      <c r="H93" s="23" t="s">
        <v>5</v>
      </c>
      <c r="I93" t="s">
        <v>13</v>
      </c>
      <c r="J93" s="256">
        <f>J92</f>
        <v>1.01010101010101E-2</v>
      </c>
      <c r="L93" s="16" t="s">
        <v>270</v>
      </c>
      <c r="M93" s="24"/>
    </row>
    <row r="94" spans="1:13" x14ac:dyDescent="0.3">
      <c r="A94" s="553"/>
      <c r="B94" s="18" t="s">
        <v>112</v>
      </c>
      <c r="C94" s="34">
        <v>4.01</v>
      </c>
      <c r="D94" s="30">
        <f>C94/$C$79</f>
        <v>3.3475248351281406E-2</v>
      </c>
      <c r="E94" s="307" t="s">
        <v>3</v>
      </c>
      <c r="F94" s="17" t="s">
        <v>100</v>
      </c>
      <c r="G94" s="23"/>
      <c r="H94" s="23" t="s">
        <v>5</v>
      </c>
      <c r="I94" s="23" t="s">
        <v>271</v>
      </c>
      <c r="J94" s="256">
        <f>D94</f>
        <v>3.3475248351281406E-2</v>
      </c>
      <c r="K94" s="15" t="s">
        <v>3</v>
      </c>
      <c r="L94" s="16" t="s">
        <v>272</v>
      </c>
      <c r="M94" s="24"/>
    </row>
    <row r="95" spans="1:13" x14ac:dyDescent="0.3">
      <c r="A95" s="553"/>
      <c r="B95" s="18"/>
      <c r="D95" s="30"/>
      <c r="E95" s="307"/>
      <c r="F95" s="17"/>
      <c r="G95" s="23"/>
      <c r="H95" s="23" t="s">
        <v>5</v>
      </c>
      <c r="I95" t="s">
        <v>14</v>
      </c>
      <c r="J95" s="256">
        <f>J94</f>
        <v>3.3475248351281406E-2</v>
      </c>
      <c r="K95" s="15" t="s">
        <v>3</v>
      </c>
      <c r="L95" s="16" t="s">
        <v>270</v>
      </c>
      <c r="M95" s="24"/>
    </row>
    <row r="96" spans="1:13" ht="43.2" x14ac:dyDescent="0.3">
      <c r="A96" s="553"/>
      <c r="B96" s="23" t="s">
        <v>252</v>
      </c>
      <c r="C96" s="27" t="s">
        <v>254</v>
      </c>
      <c r="D96" s="91"/>
      <c r="E96" s="23" t="s">
        <v>251</v>
      </c>
      <c r="F96" s="16" t="s">
        <v>123</v>
      </c>
      <c r="G96" s="15"/>
      <c r="H96" s="23" t="s">
        <v>5</v>
      </c>
      <c r="I96" s="16" t="s">
        <v>45</v>
      </c>
      <c r="J96" s="223">
        <f>AVERAGE(7,26)*MJ_to_kWh*specific_energy_NMC111</f>
        <v>0.90291738900000007</v>
      </c>
      <c r="K96" s="28" t="s">
        <v>4</v>
      </c>
      <c r="L96" s="23" t="s">
        <v>901</v>
      </c>
    </row>
    <row r="97" spans="1:13" ht="86.4" x14ac:dyDescent="0.3">
      <c r="A97" s="553"/>
      <c r="B97" s="23" t="s">
        <v>253</v>
      </c>
      <c r="C97" s="27" t="s">
        <v>131</v>
      </c>
      <c r="D97" s="91"/>
      <c r="E97" s="23" t="s">
        <v>251</v>
      </c>
      <c r="F97" s="16" t="s">
        <v>123</v>
      </c>
      <c r="G97" s="144" t="s">
        <v>513</v>
      </c>
      <c r="H97" s="23" t="s">
        <v>5</v>
      </c>
      <c r="I97" s="16" t="s">
        <v>755</v>
      </c>
      <c r="J97" s="223">
        <f>AVERAGE(56,71)*specific_energy_NMC111</f>
        <v>12.509500000000001</v>
      </c>
      <c r="K97" s="28" t="s">
        <v>21</v>
      </c>
    </row>
    <row r="98" spans="1:13" ht="28.8" x14ac:dyDescent="0.3">
      <c r="A98" s="553"/>
      <c r="B98" s="403" t="s">
        <v>258</v>
      </c>
      <c r="C98" s="188">
        <f>1.2+4</f>
        <v>5.2</v>
      </c>
      <c r="D98" s="189"/>
      <c r="E98" s="403" t="s">
        <v>251</v>
      </c>
      <c r="F98" s="72" t="s">
        <v>259</v>
      </c>
      <c r="G98" s="71"/>
      <c r="H98" s="403" t="s">
        <v>5</v>
      </c>
      <c r="I98" s="72" t="s">
        <v>45</v>
      </c>
      <c r="J98" s="257">
        <f>C98*MJ_to_kWh*specific_energy_NMC111</f>
        <v>0.28455578320000002</v>
      </c>
      <c r="K98" s="220" t="s">
        <v>4</v>
      </c>
      <c r="L98" s="403" t="s">
        <v>231</v>
      </c>
      <c r="M98" s="71"/>
    </row>
    <row r="99" spans="1:13" ht="22.5" customHeight="1" x14ac:dyDescent="0.3">
      <c r="A99" s="553"/>
      <c r="B99" s="204"/>
      <c r="C99" s="205"/>
      <c r="D99" s="205"/>
      <c r="E99" s="516"/>
      <c r="F99" s="516"/>
      <c r="G99" s="516"/>
      <c r="H99" s="516" t="s">
        <v>5</v>
      </c>
      <c r="I99" s="203" t="s">
        <v>16</v>
      </c>
      <c r="J99" s="258">
        <v>4.0000000000000001E-10</v>
      </c>
      <c r="K99" s="203" t="s">
        <v>22</v>
      </c>
      <c r="L99" s="208" t="s">
        <v>661</v>
      </c>
      <c r="M99" s="203"/>
    </row>
    <row r="100" spans="1:13" ht="43.2" x14ac:dyDescent="0.3">
      <c r="A100" s="557" t="s">
        <v>10</v>
      </c>
      <c r="B100" s="56" t="s">
        <v>10</v>
      </c>
      <c r="C100" s="300">
        <f>C80</f>
        <v>17.52</v>
      </c>
      <c r="D100" s="300"/>
      <c r="E100" s="294" t="s">
        <v>3</v>
      </c>
      <c r="F100" s="295" t="s">
        <v>40</v>
      </c>
      <c r="G100" s="294" t="s">
        <v>775</v>
      </c>
      <c r="H100" s="294" t="s">
        <v>7</v>
      </c>
      <c r="I100" s="525" t="s">
        <v>746</v>
      </c>
      <c r="J100" s="51">
        <v>1</v>
      </c>
      <c r="K100" s="42" t="s">
        <v>3</v>
      </c>
      <c r="L100" s="104"/>
      <c r="M100" s="42"/>
    </row>
    <row r="101" spans="1:13" x14ac:dyDescent="0.3">
      <c r="A101" s="550"/>
      <c r="B101" s="18"/>
      <c r="C101" s="311"/>
      <c r="D101" s="311"/>
      <c r="E101" s="23"/>
      <c r="F101" s="17"/>
      <c r="G101" s="23"/>
      <c r="H101" s="23" t="s">
        <v>5</v>
      </c>
      <c r="I101" s="16" t="s">
        <v>16</v>
      </c>
      <c r="J101" s="190">
        <v>4.0000000000000001E-10</v>
      </c>
      <c r="K101" s="485" t="s">
        <v>22</v>
      </c>
      <c r="L101" s="13"/>
      <c r="M101" s="76"/>
    </row>
    <row r="102" spans="1:13" x14ac:dyDescent="0.3">
      <c r="A102" s="550"/>
      <c r="B102" s="18"/>
      <c r="C102" s="311"/>
      <c r="D102" s="311"/>
      <c r="E102" s="23"/>
      <c r="F102" s="17"/>
      <c r="G102" s="23"/>
      <c r="H102" s="23" t="s">
        <v>5</v>
      </c>
      <c r="I102" s="16" t="s">
        <v>45</v>
      </c>
      <c r="J102" s="190">
        <v>0.41599999999999998</v>
      </c>
      <c r="K102" s="485" t="s">
        <v>4</v>
      </c>
      <c r="L102" s="515" t="s">
        <v>1019</v>
      </c>
      <c r="M102" s="76"/>
    </row>
    <row r="103" spans="1:13" ht="28.8" x14ac:dyDescent="0.3">
      <c r="A103" s="550"/>
      <c r="B103" s="15" t="s">
        <v>88</v>
      </c>
      <c r="C103" s="29">
        <f>$C$100*D103</f>
        <v>2.2075200000000001</v>
      </c>
      <c r="D103" s="30">
        <v>0.126</v>
      </c>
      <c r="E103" s="23" t="s">
        <v>3</v>
      </c>
      <c r="F103" s="17" t="s">
        <v>122</v>
      </c>
      <c r="G103" s="17" t="s">
        <v>121</v>
      </c>
      <c r="H103" s="23" t="s">
        <v>5</v>
      </c>
      <c r="I103" s="15" t="s">
        <v>88</v>
      </c>
      <c r="J103" s="463">
        <f>D103</f>
        <v>0.126</v>
      </c>
      <c r="K103" s="15" t="s">
        <v>3</v>
      </c>
      <c r="L103" s="50"/>
    </row>
    <row r="104" spans="1:13" ht="28.8" x14ac:dyDescent="0.3">
      <c r="A104" s="550"/>
      <c r="B104" s="15" t="s">
        <v>89</v>
      </c>
      <c r="C104" s="29">
        <f>$C$100*D104</f>
        <v>7.4459999999999997</v>
      </c>
      <c r="D104" s="30">
        <v>0.42499999999999999</v>
      </c>
      <c r="E104" s="23" t="s">
        <v>3</v>
      </c>
      <c r="F104" s="17" t="s">
        <v>122</v>
      </c>
      <c r="G104" s="17" t="s">
        <v>120</v>
      </c>
      <c r="H104" s="23" t="s">
        <v>5</v>
      </c>
      <c r="I104" s="146" t="s">
        <v>89</v>
      </c>
      <c r="J104" s="463">
        <f>D104</f>
        <v>0.42499999999999999</v>
      </c>
      <c r="K104" s="15" t="s">
        <v>3</v>
      </c>
    </row>
    <row r="105" spans="1:13" ht="28.8" x14ac:dyDescent="0.3">
      <c r="A105" s="550"/>
      <c r="B105" s="71" t="s">
        <v>90</v>
      </c>
      <c r="C105" s="232">
        <f>$C$100*D105</f>
        <v>7.4459999999999997</v>
      </c>
      <c r="D105" s="233">
        <v>0.42499999999999999</v>
      </c>
      <c r="E105" s="403" t="s">
        <v>3</v>
      </c>
      <c r="F105" s="404" t="s">
        <v>122</v>
      </c>
      <c r="G105" s="404" t="s">
        <v>120</v>
      </c>
      <c r="H105" s="403" t="s">
        <v>5</v>
      </c>
      <c r="I105" s="527" t="s">
        <v>90</v>
      </c>
      <c r="J105" s="464">
        <f>D105</f>
        <v>0.42499999999999999</v>
      </c>
      <c r="K105" s="71" t="s">
        <v>3</v>
      </c>
      <c r="L105" s="72"/>
      <c r="M105" s="71"/>
    </row>
    <row r="106" spans="1:13" ht="28.8" x14ac:dyDescent="0.3">
      <c r="A106" s="551"/>
      <c r="B106" s="11" t="s">
        <v>707</v>
      </c>
      <c r="C106" s="234">
        <f>$C$100*D106</f>
        <v>0.42048000000000002</v>
      </c>
      <c r="D106" s="235">
        <v>2.4E-2</v>
      </c>
      <c r="E106" s="515" t="s">
        <v>3</v>
      </c>
      <c r="F106" s="104" t="s">
        <v>122</v>
      </c>
      <c r="G106" s="208" t="s">
        <v>91</v>
      </c>
      <c r="H106" s="515" t="s">
        <v>5</v>
      </c>
      <c r="I106" s="5" t="s">
        <v>706</v>
      </c>
      <c r="J106" s="465">
        <f>D106</f>
        <v>2.4E-2</v>
      </c>
      <c r="K106" s="11" t="s">
        <v>3</v>
      </c>
      <c r="L106" s="5" t="s">
        <v>902</v>
      </c>
      <c r="M106" s="11"/>
    </row>
    <row r="107" spans="1:13" ht="158.4" x14ac:dyDescent="0.3">
      <c r="A107" s="550" t="s">
        <v>670</v>
      </c>
      <c r="B107" s="74" t="s">
        <v>751</v>
      </c>
      <c r="C107" s="149">
        <v>1</v>
      </c>
      <c r="D107" s="149"/>
      <c r="E107" s="68" t="s">
        <v>3</v>
      </c>
      <c r="F107" s="68"/>
      <c r="G107" s="68" t="s">
        <v>309</v>
      </c>
      <c r="H107" s="68" t="s">
        <v>155</v>
      </c>
      <c r="I107" s="68" t="s">
        <v>706</v>
      </c>
      <c r="J107" s="149">
        <f>C107</f>
        <v>1</v>
      </c>
      <c r="K107" s="67" t="s">
        <v>3</v>
      </c>
      <c r="L107" s="313" t="s">
        <v>416</v>
      </c>
      <c r="M107" s="67"/>
    </row>
    <row r="108" spans="1:13" ht="28.8" x14ac:dyDescent="0.3">
      <c r="A108" s="550"/>
      <c r="B108" s="75"/>
      <c r="C108" s="51"/>
      <c r="D108" s="51"/>
      <c r="E108" s="50"/>
      <c r="F108" s="50"/>
      <c r="G108" s="50"/>
      <c r="H108" s="50" t="s">
        <v>5</v>
      </c>
      <c r="I108" s="50" t="s">
        <v>426</v>
      </c>
      <c r="J108" s="171">
        <f>(101.19)*(1/process_efficiency)*1/86.02</f>
        <v>1.2382677223167196</v>
      </c>
      <c r="K108" s="42" t="s">
        <v>3</v>
      </c>
      <c r="L108" s="25" t="s">
        <v>427</v>
      </c>
      <c r="M108" s="69"/>
    </row>
    <row r="109" spans="1:13" ht="28.8" x14ac:dyDescent="0.3">
      <c r="A109" s="550"/>
      <c r="B109" s="76"/>
      <c r="H109" s="25" t="s">
        <v>5</v>
      </c>
      <c r="I109" s="25" t="s">
        <v>89</v>
      </c>
      <c r="J109" s="171">
        <f>(88.04)*(1/process_efficiency)*1/86.02</f>
        <v>1.0773504325799386</v>
      </c>
      <c r="K109" s="15" t="s">
        <v>3</v>
      </c>
      <c r="L109" s="25" t="s">
        <v>428</v>
      </c>
    </row>
    <row r="110" spans="1:13" ht="28.8" x14ac:dyDescent="0.3">
      <c r="A110" s="550"/>
      <c r="B110" s="76"/>
      <c r="H110" s="16" t="s">
        <v>5</v>
      </c>
      <c r="I110" s="5" t="s">
        <v>265</v>
      </c>
      <c r="J110" s="171">
        <f xml:space="preserve"> 70.9*(1/process_efficiency)*1/86.04</f>
        <v>0.86740561305635078</v>
      </c>
      <c r="K110" s="15" t="s">
        <v>3</v>
      </c>
      <c r="L110" s="25" t="s">
        <v>433</v>
      </c>
    </row>
    <row r="111" spans="1:13" ht="28.8" x14ac:dyDescent="0.3">
      <c r="A111" s="550"/>
      <c r="B111" s="75"/>
      <c r="C111" s="51"/>
      <c r="D111" s="51"/>
      <c r="E111" s="50"/>
      <c r="F111" s="50"/>
      <c r="G111" s="50"/>
      <c r="H111" s="17" t="s">
        <v>165</v>
      </c>
      <c r="I111" s="5" t="s">
        <v>982</v>
      </c>
      <c r="J111" s="137">
        <f>(36.46)*(1/process_efficiency)*1/86.02</f>
        <v>0.44616307101163744</v>
      </c>
      <c r="K111" s="42" t="s">
        <v>3</v>
      </c>
      <c r="L111" s="70" t="s">
        <v>266</v>
      </c>
      <c r="M111" s="69"/>
    </row>
    <row r="112" spans="1:13" ht="28.8" x14ac:dyDescent="0.3">
      <c r="A112" s="550"/>
      <c r="B112" s="75"/>
      <c r="C112" s="51"/>
      <c r="D112" s="51"/>
      <c r="E112" s="50"/>
      <c r="F112" s="50"/>
      <c r="G112" s="50"/>
      <c r="H112" s="17" t="s">
        <v>165</v>
      </c>
      <c r="I112" s="5" t="s">
        <v>1154</v>
      </c>
      <c r="J112" s="137">
        <f>(102.2)*(1/ process_efficiency)*1/86.02</f>
        <v>1.2506271491330045</v>
      </c>
      <c r="K112" s="42" t="s">
        <v>3</v>
      </c>
      <c r="L112" s="70" t="s">
        <v>1155</v>
      </c>
      <c r="M112" s="69"/>
    </row>
    <row r="113" spans="1:13" ht="28.8" x14ac:dyDescent="0.3">
      <c r="A113" s="550"/>
      <c r="B113" s="76"/>
      <c r="H113" s="50" t="s">
        <v>6</v>
      </c>
      <c r="I113" s="50" t="s">
        <v>268</v>
      </c>
      <c r="J113" s="190">
        <f>(1/process_efficiency)*35.45/86.02</f>
        <v>0.43380364419535239</v>
      </c>
      <c r="K113" s="28" t="s">
        <v>3</v>
      </c>
      <c r="L113" s="70" t="s">
        <v>1156</v>
      </c>
    </row>
    <row r="114" spans="1:13" ht="28.8" x14ac:dyDescent="0.3">
      <c r="A114" s="550"/>
      <c r="B114" s="75"/>
      <c r="C114" s="51"/>
      <c r="D114" s="51"/>
      <c r="E114" s="50"/>
      <c r="F114" s="50"/>
      <c r="G114" s="145"/>
      <c r="H114" s="16" t="s">
        <v>307</v>
      </c>
      <c r="I114" s="50" t="s">
        <v>752</v>
      </c>
      <c r="J114" s="190">
        <v>0.50059252154542599</v>
      </c>
      <c r="K114" s="42" t="s">
        <v>3</v>
      </c>
      <c r="L114" s="50" t="s">
        <v>1157</v>
      </c>
      <c r="M114" s="69"/>
    </row>
    <row r="115" spans="1:13" ht="90" x14ac:dyDescent="0.35">
      <c r="A115" s="550"/>
      <c r="B115" s="76"/>
      <c r="H115" s="16" t="s">
        <v>5</v>
      </c>
      <c r="I115" s="16" t="s">
        <v>159</v>
      </c>
      <c r="J115" s="34">
        <v>2.5999999999999999E-2</v>
      </c>
      <c r="K115" s="15" t="s">
        <v>3</v>
      </c>
      <c r="L115" s="416" t="s">
        <v>168</v>
      </c>
    </row>
    <row r="116" spans="1:13" ht="120" x14ac:dyDescent="0.3">
      <c r="A116" s="550"/>
      <c r="B116" s="76"/>
      <c r="H116" s="16" t="s">
        <v>5</v>
      </c>
      <c r="I116" s="16" t="s">
        <v>16</v>
      </c>
      <c r="J116" s="34">
        <v>4.0000000000000001E-10</v>
      </c>
      <c r="K116" s="15" t="s">
        <v>22</v>
      </c>
      <c r="L116" s="315" t="s">
        <v>180</v>
      </c>
    </row>
    <row r="117" spans="1:13" ht="165" x14ac:dyDescent="0.35">
      <c r="A117" s="550"/>
      <c r="B117" s="76"/>
      <c r="H117" s="16" t="s">
        <v>5</v>
      </c>
      <c r="I117" s="16" t="s">
        <v>19</v>
      </c>
      <c r="J117" s="34">
        <v>0.41599999999999998</v>
      </c>
      <c r="K117" s="15" t="s">
        <v>4</v>
      </c>
      <c r="L117" s="416" t="s">
        <v>166</v>
      </c>
    </row>
    <row r="118" spans="1:13" ht="165" x14ac:dyDescent="0.35">
      <c r="A118" s="550"/>
      <c r="B118" s="76"/>
      <c r="H118" s="16" t="s">
        <v>5</v>
      </c>
      <c r="I118" s="16" t="s">
        <v>20</v>
      </c>
      <c r="J118" s="34">
        <v>2.3499999999999996</v>
      </c>
      <c r="K118" s="15" t="s">
        <v>21</v>
      </c>
      <c r="L118" s="416" t="s">
        <v>167</v>
      </c>
    </row>
    <row r="119" spans="1:13" ht="120" x14ac:dyDescent="0.35">
      <c r="A119" s="550"/>
      <c r="B119" s="76"/>
      <c r="H119" s="16" t="s">
        <v>5</v>
      </c>
      <c r="I119" s="16" t="s">
        <v>157</v>
      </c>
      <c r="J119" s="34">
        <v>1.9E-2</v>
      </c>
      <c r="K119" s="15" t="s">
        <v>3</v>
      </c>
      <c r="L119" s="416" t="s">
        <v>169</v>
      </c>
    </row>
    <row r="120" spans="1:13" ht="75" x14ac:dyDescent="0.35">
      <c r="A120" s="550"/>
      <c r="B120" s="76"/>
      <c r="H120" s="16" t="s">
        <v>36</v>
      </c>
      <c r="I120" s="16" t="s">
        <v>161</v>
      </c>
      <c r="J120" s="34">
        <v>1.6399999999999998E-2</v>
      </c>
      <c r="K120" s="15" t="s">
        <v>55</v>
      </c>
      <c r="L120" s="416" t="s">
        <v>170</v>
      </c>
    </row>
    <row r="121" spans="1:13" ht="90" x14ac:dyDescent="0.35">
      <c r="A121" s="550"/>
      <c r="B121" s="76"/>
      <c r="H121" s="16" t="s">
        <v>36</v>
      </c>
      <c r="I121" s="16" t="s">
        <v>162</v>
      </c>
      <c r="J121" s="34">
        <v>8.5999999999999998E-4</v>
      </c>
      <c r="K121" s="15" t="s">
        <v>55</v>
      </c>
      <c r="L121" s="416" t="s">
        <v>171</v>
      </c>
    </row>
    <row r="122" spans="1:13" ht="90" x14ac:dyDescent="0.35">
      <c r="A122" s="550"/>
      <c r="B122" s="76"/>
      <c r="H122" s="16" t="s">
        <v>36</v>
      </c>
      <c r="I122" s="16" t="s">
        <v>160</v>
      </c>
      <c r="J122" s="34">
        <v>8.3000000000000001E-4</v>
      </c>
      <c r="K122" s="15" t="s">
        <v>55</v>
      </c>
      <c r="L122" s="416" t="s">
        <v>171</v>
      </c>
    </row>
    <row r="123" spans="1:13" ht="15" x14ac:dyDescent="0.3">
      <c r="A123" s="550"/>
      <c r="B123" s="76"/>
      <c r="H123" s="16" t="s">
        <v>164</v>
      </c>
      <c r="I123" s="16" t="s">
        <v>163</v>
      </c>
      <c r="J123" s="34">
        <v>1.9E-2</v>
      </c>
      <c r="K123" s="15" t="s">
        <v>3</v>
      </c>
      <c r="L123" s="315" t="s">
        <v>181</v>
      </c>
    </row>
    <row r="124" spans="1:13" ht="75" x14ac:dyDescent="0.35">
      <c r="A124" s="550"/>
      <c r="B124" s="76"/>
      <c r="G124" s="15"/>
      <c r="H124" s="16" t="s">
        <v>164</v>
      </c>
      <c r="I124" s="16" t="s">
        <v>32</v>
      </c>
      <c r="J124" s="34">
        <v>1.4E-3</v>
      </c>
      <c r="K124" s="15" t="s">
        <v>55</v>
      </c>
      <c r="L124" s="416" t="s">
        <v>172</v>
      </c>
    </row>
    <row r="125" spans="1:13" ht="45" x14ac:dyDescent="0.35">
      <c r="A125" s="550"/>
      <c r="B125" s="77"/>
      <c r="C125" s="147"/>
      <c r="D125" s="147"/>
      <c r="E125" s="72"/>
      <c r="F125" s="72"/>
      <c r="G125" s="72"/>
      <c r="H125" s="72" t="s">
        <v>165</v>
      </c>
      <c r="I125" s="72" t="s">
        <v>32</v>
      </c>
      <c r="J125" s="147">
        <v>1.67E-2</v>
      </c>
      <c r="K125" s="71" t="s">
        <v>55</v>
      </c>
      <c r="L125" s="417" t="s">
        <v>173</v>
      </c>
      <c r="M125" s="71"/>
    </row>
    <row r="126" spans="1:13" ht="90" x14ac:dyDescent="0.35">
      <c r="A126" s="550"/>
      <c r="B126" s="11"/>
      <c r="C126" s="218"/>
      <c r="D126" s="218"/>
      <c r="E126" s="5"/>
      <c r="F126" s="5"/>
      <c r="G126" s="5"/>
      <c r="H126" s="16" t="s">
        <v>307</v>
      </c>
      <c r="I126" s="5" t="s">
        <v>54</v>
      </c>
      <c r="J126" s="10">
        <v>2.7E-6</v>
      </c>
      <c r="K126" s="11" t="s">
        <v>55</v>
      </c>
      <c r="L126" s="418" t="s">
        <v>182</v>
      </c>
      <c r="M126" s="11"/>
    </row>
    <row r="127" spans="1:13" ht="28.95" customHeight="1" x14ac:dyDescent="0.3">
      <c r="A127" s="293"/>
      <c r="B127" s="11"/>
      <c r="C127" s="218"/>
      <c r="D127" s="218"/>
      <c r="E127" s="5"/>
      <c r="F127" s="5"/>
      <c r="G127" s="5"/>
      <c r="H127" s="50" t="s">
        <v>6</v>
      </c>
      <c r="I127" s="50" t="s">
        <v>508</v>
      </c>
      <c r="J127" s="190">
        <v>0.42160701832486702</v>
      </c>
      <c r="K127" s="11"/>
      <c r="L127" s="559" t="s">
        <v>903</v>
      </c>
      <c r="M127" s="11"/>
    </row>
    <row r="128" spans="1:13" ht="16.05" customHeight="1" x14ac:dyDescent="0.3">
      <c r="A128" s="293"/>
      <c r="B128" s="11"/>
      <c r="C128" s="218"/>
      <c r="D128" s="218"/>
      <c r="E128" s="5"/>
      <c r="F128" s="5"/>
      <c r="G128" s="5"/>
      <c r="H128" s="50" t="s">
        <v>6</v>
      </c>
      <c r="I128" s="50" t="s">
        <v>509</v>
      </c>
      <c r="J128" s="190">
        <v>0.42160701832486658</v>
      </c>
      <c r="K128" s="11"/>
      <c r="L128" s="559"/>
      <c r="M128" s="11"/>
    </row>
    <row r="129" spans="1:13" ht="16.05" customHeight="1" x14ac:dyDescent="0.3">
      <c r="A129" s="293"/>
      <c r="B129" s="11"/>
      <c r="C129" s="218"/>
      <c r="D129" s="218"/>
      <c r="E129" s="5"/>
      <c r="F129" s="5"/>
      <c r="G129" s="5"/>
      <c r="H129" s="50" t="s">
        <v>6</v>
      </c>
      <c r="I129" s="50" t="s">
        <v>510</v>
      </c>
      <c r="J129" s="190">
        <v>0.11151672931315135</v>
      </c>
      <c r="K129" s="11"/>
      <c r="L129" s="559"/>
      <c r="M129" s="11"/>
    </row>
    <row r="130" spans="1:13" x14ac:dyDescent="0.3">
      <c r="A130" s="402"/>
      <c r="B130" s="73"/>
      <c r="C130" s="148"/>
      <c r="D130" s="148"/>
      <c r="E130" s="89"/>
      <c r="F130" s="89"/>
      <c r="G130" s="89"/>
      <c r="H130" s="54" t="s">
        <v>6</v>
      </c>
      <c r="I130" s="54" t="s">
        <v>511</v>
      </c>
      <c r="J130" s="259">
        <v>0.11151672931315135</v>
      </c>
      <c r="K130" s="73"/>
      <c r="L130" s="560"/>
      <c r="M130" s="73"/>
    </row>
    <row r="131" spans="1:13" s="42" customFormat="1" ht="43.2" x14ac:dyDescent="0.3">
      <c r="A131" s="552" t="s">
        <v>717</v>
      </c>
      <c r="B131" s="50" t="s">
        <v>7</v>
      </c>
      <c r="C131" s="50" t="s">
        <v>385</v>
      </c>
      <c r="D131" s="51">
        <v>1</v>
      </c>
      <c r="E131" s="42" t="s">
        <v>3</v>
      </c>
      <c r="H131" s="50" t="s">
        <v>7</v>
      </c>
      <c r="I131" s="50" t="s">
        <v>385</v>
      </c>
      <c r="J131" s="51">
        <v>1</v>
      </c>
      <c r="K131" s="42" t="s">
        <v>3</v>
      </c>
      <c r="L131" s="50"/>
    </row>
    <row r="132" spans="1:13" s="15" customFormat="1" x14ac:dyDescent="0.3">
      <c r="A132" s="553"/>
      <c r="B132" s="16"/>
      <c r="D132" s="34"/>
      <c r="E132" s="16"/>
      <c r="F132" s="398"/>
      <c r="H132" s="16" t="s">
        <v>5</v>
      </c>
      <c r="I132" s="15" t="s">
        <v>643</v>
      </c>
      <c r="J132" s="34">
        <v>0.35099999999999998</v>
      </c>
      <c r="K132" s="16" t="s">
        <v>3</v>
      </c>
      <c r="L132" s="16" t="s">
        <v>986</v>
      </c>
    </row>
    <row r="133" spans="1:13" s="15" customFormat="1" x14ac:dyDescent="0.3">
      <c r="A133" s="553"/>
      <c r="B133" s="16"/>
      <c r="C133" s="167"/>
      <c r="D133" s="34"/>
      <c r="E133" s="16"/>
      <c r="F133" s="398"/>
      <c r="H133" s="16" t="s">
        <v>5</v>
      </c>
      <c r="I133" s="167" t="s">
        <v>274</v>
      </c>
      <c r="J133" s="34">
        <v>0.35099999999999998</v>
      </c>
      <c r="K133" s="16" t="s">
        <v>3</v>
      </c>
      <c r="L133" s="16" t="s">
        <v>986</v>
      </c>
    </row>
    <row r="134" spans="1:13" s="15" customFormat="1" x14ac:dyDescent="0.3">
      <c r="A134" s="553"/>
      <c r="B134" s="16"/>
      <c r="D134" s="19"/>
      <c r="E134" s="16"/>
      <c r="H134" s="16" t="s">
        <v>5</v>
      </c>
      <c r="I134" s="15" t="s">
        <v>25</v>
      </c>
      <c r="J134" s="19">
        <v>0.218</v>
      </c>
      <c r="K134" s="16" t="s">
        <v>3</v>
      </c>
      <c r="L134" s="16"/>
    </row>
    <row r="135" spans="1:13" s="15" customFormat="1" x14ac:dyDescent="0.3">
      <c r="A135" s="553"/>
      <c r="B135" s="16"/>
      <c r="D135" s="19"/>
      <c r="E135" s="16"/>
      <c r="H135" s="16" t="s">
        <v>5</v>
      </c>
      <c r="I135" s="15" t="s">
        <v>24</v>
      </c>
      <c r="J135" s="19">
        <v>1.44E-2</v>
      </c>
      <c r="K135" s="16" t="s">
        <v>3</v>
      </c>
      <c r="L135" s="16"/>
    </row>
    <row r="136" spans="1:13" s="15" customFormat="1" x14ac:dyDescent="0.3">
      <c r="A136" s="553"/>
      <c r="B136" s="16"/>
      <c r="D136" s="19"/>
      <c r="E136" s="16"/>
      <c r="H136" s="16" t="s">
        <v>5</v>
      </c>
      <c r="I136" s="15" t="s">
        <v>26</v>
      </c>
      <c r="J136" s="19">
        <v>2.6200000000000001E-2</v>
      </c>
      <c r="K136" s="16" t="s">
        <v>3</v>
      </c>
      <c r="L136" s="16"/>
    </row>
    <row r="137" spans="1:13" s="15" customFormat="1" x14ac:dyDescent="0.3">
      <c r="A137" s="553"/>
      <c r="B137" s="16"/>
      <c r="D137" s="19"/>
      <c r="E137" s="16"/>
      <c r="H137" s="16" t="s">
        <v>5</v>
      </c>
      <c r="I137" s="15" t="s">
        <v>27</v>
      </c>
      <c r="J137" s="19">
        <v>0.29099999999999998</v>
      </c>
      <c r="K137" s="16" t="s">
        <v>3</v>
      </c>
      <c r="L137" s="16"/>
    </row>
    <row r="138" spans="1:13" s="15" customFormat="1" x14ac:dyDescent="0.3">
      <c r="A138" s="553"/>
      <c r="B138" s="16"/>
      <c r="D138" s="19"/>
      <c r="E138" s="16"/>
      <c r="G138" s="396"/>
      <c r="H138" s="16" t="s">
        <v>5</v>
      </c>
      <c r="I138" s="15" t="s">
        <v>28</v>
      </c>
      <c r="J138" s="19">
        <v>0.192</v>
      </c>
      <c r="K138" s="16" t="s">
        <v>3</v>
      </c>
      <c r="L138" s="16"/>
    </row>
    <row r="139" spans="1:13" s="15" customFormat="1" x14ac:dyDescent="0.3">
      <c r="A139" s="553"/>
      <c r="B139" s="16"/>
      <c r="D139" s="19"/>
      <c r="E139" s="16"/>
      <c r="H139" s="16" t="s">
        <v>5</v>
      </c>
      <c r="I139" s="15" t="s">
        <v>16</v>
      </c>
      <c r="J139" s="19">
        <v>4.0000000000000001E-10</v>
      </c>
      <c r="K139" s="16" t="s">
        <v>22</v>
      </c>
      <c r="L139" s="16"/>
    </row>
    <row r="140" spans="1:13" s="15" customFormat="1" x14ac:dyDescent="0.3">
      <c r="A140" s="553"/>
      <c r="B140" s="16"/>
      <c r="D140" s="19"/>
      <c r="E140" s="16"/>
      <c r="H140" s="16" t="s">
        <v>5</v>
      </c>
      <c r="I140" s="15" t="s">
        <v>19</v>
      </c>
      <c r="J140" s="19">
        <v>2E-3</v>
      </c>
      <c r="K140" s="16" t="s">
        <v>4</v>
      </c>
      <c r="L140" s="16"/>
    </row>
    <row r="141" spans="1:13" s="15" customFormat="1" ht="14.55" customHeight="1" x14ac:dyDescent="0.3">
      <c r="A141" s="553"/>
      <c r="B141" s="16"/>
      <c r="D141" s="19"/>
      <c r="E141" s="16"/>
      <c r="G141" s="396"/>
      <c r="H141" s="16" t="s">
        <v>5</v>
      </c>
      <c r="I141" s="15" t="s">
        <v>20</v>
      </c>
      <c r="J141" s="19">
        <v>0.193</v>
      </c>
      <c r="K141" s="16" t="s">
        <v>21</v>
      </c>
      <c r="L141" s="16"/>
    </row>
    <row r="142" spans="1:13" s="15" customFormat="1" ht="14.55" customHeight="1" x14ac:dyDescent="0.3">
      <c r="A142" s="553"/>
      <c r="B142" s="16"/>
      <c r="D142" s="19"/>
      <c r="E142" s="16"/>
      <c r="H142" s="16" t="s">
        <v>5</v>
      </c>
      <c r="I142" s="15" t="s">
        <v>29</v>
      </c>
      <c r="J142" s="19">
        <v>-5.3900000000000003E-2</v>
      </c>
      <c r="K142" s="16" t="s">
        <v>3</v>
      </c>
      <c r="L142" s="16"/>
    </row>
    <row r="143" spans="1:13" s="55" customFormat="1" x14ac:dyDescent="0.3">
      <c r="A143" s="558"/>
      <c r="B143" s="54"/>
      <c r="D143" s="88"/>
      <c r="E143" s="54"/>
      <c r="H143" s="54" t="s">
        <v>6</v>
      </c>
      <c r="I143" s="55" t="s">
        <v>23</v>
      </c>
      <c r="J143" s="88">
        <v>1.44E-2</v>
      </c>
      <c r="K143" s="54" t="s">
        <v>3</v>
      </c>
      <c r="L143" s="54"/>
    </row>
    <row r="144" spans="1:13" x14ac:dyDescent="0.3">
      <c r="A144" s="554" t="s">
        <v>603</v>
      </c>
      <c r="B144" s="42" t="s">
        <v>591</v>
      </c>
      <c r="C144" s="137">
        <v>24.4</v>
      </c>
      <c r="D144" s="51"/>
      <c r="E144" s="50" t="s">
        <v>3</v>
      </c>
      <c r="F144" s="50" t="s">
        <v>40</v>
      </c>
      <c r="G144" s="50" t="s">
        <v>600</v>
      </c>
      <c r="H144" s="50" t="s">
        <v>7</v>
      </c>
      <c r="I144" s="5" t="s">
        <v>747</v>
      </c>
      <c r="J144" s="51">
        <v>1</v>
      </c>
      <c r="K144" s="42" t="s">
        <v>3</v>
      </c>
      <c r="L144" s="50"/>
      <c r="M144" s="42"/>
    </row>
    <row r="145" spans="1:13" ht="33" customHeight="1" x14ac:dyDescent="0.3">
      <c r="A145" s="555"/>
      <c r="B145" s="18" t="s">
        <v>92</v>
      </c>
      <c r="C145" s="196">
        <f>23.18</f>
        <v>23.18</v>
      </c>
      <c r="D145" s="24"/>
      <c r="E145" s="16" t="s">
        <v>3</v>
      </c>
      <c r="F145" s="25" t="s">
        <v>102</v>
      </c>
      <c r="G145" s="561" t="s">
        <v>776</v>
      </c>
      <c r="H145" s="279" t="s">
        <v>5</v>
      </c>
      <c r="I145" s="5" t="s">
        <v>753</v>
      </c>
      <c r="J145" s="274">
        <f>1-J146-J147-J148</f>
        <v>0.94</v>
      </c>
      <c r="K145" s="15" t="s">
        <v>3</v>
      </c>
      <c r="L145" s="13"/>
    </row>
    <row r="146" spans="1:13" ht="28.8" x14ac:dyDescent="0.3">
      <c r="A146" s="555"/>
      <c r="B146" s="280" t="s">
        <v>777</v>
      </c>
      <c r="C146" s="195">
        <v>1.22</v>
      </c>
      <c r="D146" s="24"/>
      <c r="E146" s="16" t="s">
        <v>3</v>
      </c>
      <c r="F146" s="25" t="s">
        <v>779</v>
      </c>
      <c r="G146" s="562"/>
      <c r="H146" s="16" t="s">
        <v>5</v>
      </c>
      <c r="I146" s="50" t="s">
        <v>94</v>
      </c>
      <c r="J146" s="19">
        <f>0.03</f>
        <v>0.03</v>
      </c>
      <c r="K146" s="15" t="s">
        <v>3</v>
      </c>
      <c r="L146" s="13"/>
    </row>
    <row r="147" spans="1:13" ht="27.45" customHeight="1" x14ac:dyDescent="0.3">
      <c r="A147" s="555"/>
      <c r="B147" s="15" t="s">
        <v>18</v>
      </c>
      <c r="C147" s="21" t="s">
        <v>69</v>
      </c>
      <c r="D147" s="24"/>
      <c r="E147" s="16" t="s">
        <v>3</v>
      </c>
      <c r="G147" s="563"/>
      <c r="H147" s="16" t="s">
        <v>5</v>
      </c>
      <c r="I147" s="16" t="s">
        <v>18</v>
      </c>
      <c r="J147" s="19">
        <v>0.01</v>
      </c>
      <c r="K147" s="15" t="s">
        <v>3</v>
      </c>
      <c r="L147" s="13"/>
    </row>
    <row r="148" spans="1:13" ht="28.95" customHeight="1" x14ac:dyDescent="0.3">
      <c r="A148" s="555"/>
      <c r="B148" s="280" t="s">
        <v>778</v>
      </c>
      <c r="C148" s="21" t="s">
        <v>69</v>
      </c>
      <c r="D148" s="24"/>
      <c r="E148" s="16" t="s">
        <v>3</v>
      </c>
      <c r="H148" s="16" t="s">
        <v>5</v>
      </c>
      <c r="I148" s="16" t="s">
        <v>51</v>
      </c>
      <c r="J148" s="19">
        <v>0.02</v>
      </c>
      <c r="K148" s="15" t="s">
        <v>3</v>
      </c>
      <c r="L148" s="13"/>
    </row>
    <row r="149" spans="1:13" ht="28.8" x14ac:dyDescent="0.3">
      <c r="A149" s="555"/>
      <c r="B149" s="15" t="s">
        <v>17</v>
      </c>
      <c r="C149" s="34" t="s">
        <v>124</v>
      </c>
      <c r="E149" s="16" t="s">
        <v>148</v>
      </c>
      <c r="F149" s="16" t="s">
        <v>320</v>
      </c>
      <c r="G149" s="16" t="s">
        <v>321</v>
      </c>
      <c r="H149" s="16" t="s">
        <v>5</v>
      </c>
      <c r="I149" s="16" t="s">
        <v>17</v>
      </c>
      <c r="J149" s="34">
        <v>1</v>
      </c>
      <c r="K149" s="15" t="s">
        <v>3</v>
      </c>
    </row>
    <row r="150" spans="1:13" ht="86.4" x14ac:dyDescent="0.3">
      <c r="A150" s="555"/>
      <c r="B150" s="16" t="s">
        <v>303</v>
      </c>
      <c r="C150" s="34" t="s">
        <v>131</v>
      </c>
      <c r="E150" s="25" t="s">
        <v>132</v>
      </c>
      <c r="F150" s="16" t="s">
        <v>123</v>
      </c>
      <c r="G150" s="144" t="s">
        <v>780</v>
      </c>
      <c r="H150" s="16" t="s">
        <v>5</v>
      </c>
      <c r="I150" s="17" t="s">
        <v>754</v>
      </c>
      <c r="J150" s="172">
        <f>heat_drying_cathode*0.3</f>
        <v>7.7243808640661591</v>
      </c>
      <c r="K150" s="15" t="s">
        <v>21</v>
      </c>
      <c r="L150" s="16" t="s">
        <v>904</v>
      </c>
      <c r="M150" s="16"/>
    </row>
    <row r="151" spans="1:13" ht="28.8" x14ac:dyDescent="0.3">
      <c r="A151" s="555"/>
      <c r="B151" s="25" t="s">
        <v>297</v>
      </c>
      <c r="C151" s="34">
        <v>0.33099999999999996</v>
      </c>
      <c r="E151" s="16" t="s">
        <v>194</v>
      </c>
      <c r="F151" s="25" t="s">
        <v>299</v>
      </c>
      <c r="G151" s="82" t="s">
        <v>781</v>
      </c>
      <c r="H151" s="25" t="s">
        <v>5</v>
      </c>
      <c r="I151" s="25" t="s">
        <v>45</v>
      </c>
      <c r="J151" s="171">
        <f>C151/'info solvents'!$O$5*specific_energy_NMC111</f>
        <v>0.44058783783783784</v>
      </c>
      <c r="K151" s="28" t="s">
        <v>4</v>
      </c>
      <c r="L151" s="23" t="s">
        <v>300</v>
      </c>
    </row>
    <row r="152" spans="1:13" x14ac:dyDescent="0.3">
      <c r="A152" s="555"/>
      <c r="B152" s="28"/>
      <c r="C152" s="32"/>
      <c r="H152" s="16" t="s">
        <v>307</v>
      </c>
      <c r="I152" s="25" t="s">
        <v>985</v>
      </c>
      <c r="J152" s="32">
        <f>water_deionised/1000</f>
        <v>1E-3</v>
      </c>
      <c r="K152" s="15" t="s">
        <v>55</v>
      </c>
      <c r="L152" s="16" t="s">
        <v>987</v>
      </c>
      <c r="M152"/>
    </row>
    <row r="153" spans="1:13" ht="15" x14ac:dyDescent="0.3">
      <c r="A153" s="556"/>
      <c r="B153" s="118"/>
      <c r="C153" s="78"/>
      <c r="D153" s="78"/>
      <c r="E153" s="63"/>
      <c r="F153" s="63"/>
      <c r="G153" s="63"/>
      <c r="H153" s="63" t="s">
        <v>5</v>
      </c>
      <c r="I153" s="63" t="s">
        <v>16</v>
      </c>
      <c r="J153" s="78">
        <v>4.0000000000000001E-10</v>
      </c>
      <c r="K153" s="118" t="s">
        <v>22</v>
      </c>
      <c r="L153" s="528" t="s">
        <v>661</v>
      </c>
      <c r="M153" s="118"/>
    </row>
    <row r="154" spans="1:13" x14ac:dyDescent="0.3">
      <c r="A154" s="554" t="s">
        <v>597</v>
      </c>
      <c r="B154" s="56" t="s">
        <v>130</v>
      </c>
      <c r="C154" s="51">
        <v>14.83</v>
      </c>
      <c r="D154" s="473">
        <v>1</v>
      </c>
      <c r="E154" s="50" t="s">
        <v>3</v>
      </c>
      <c r="F154" s="50" t="s">
        <v>40</v>
      </c>
      <c r="G154" s="50"/>
      <c r="H154" s="16" t="s">
        <v>5</v>
      </c>
      <c r="I154" s="5" t="s">
        <v>748</v>
      </c>
      <c r="J154" s="137">
        <f>D154</f>
        <v>1</v>
      </c>
      <c r="K154" s="42" t="s">
        <v>3</v>
      </c>
      <c r="L154" s="50"/>
      <c r="M154" s="42"/>
    </row>
    <row r="155" spans="1:13" x14ac:dyDescent="0.3">
      <c r="A155" s="555"/>
      <c r="B155" s="56"/>
      <c r="C155" s="51"/>
      <c r="D155" s="473"/>
      <c r="E155" s="50"/>
      <c r="F155" s="50"/>
      <c r="G155" s="50"/>
      <c r="H155" s="16" t="s">
        <v>5</v>
      </c>
      <c r="I155" s="5" t="s">
        <v>53</v>
      </c>
      <c r="J155" s="137">
        <v>1</v>
      </c>
      <c r="K155" s="42" t="s">
        <v>3</v>
      </c>
      <c r="L155" s="50"/>
      <c r="M155" s="42"/>
    </row>
    <row r="156" spans="1:13" x14ac:dyDescent="0.3">
      <c r="A156" s="555"/>
      <c r="B156" s="18"/>
      <c r="H156" s="16" t="s">
        <v>5</v>
      </c>
      <c r="I156" s="50" t="s">
        <v>14</v>
      </c>
      <c r="J156" s="19">
        <f>J154</f>
        <v>1</v>
      </c>
      <c r="K156" s="15" t="s">
        <v>3</v>
      </c>
    </row>
    <row r="157" spans="1:13" s="209" customFormat="1" x14ac:dyDescent="0.3">
      <c r="A157" s="555"/>
      <c r="B157" s="28"/>
      <c r="C157" s="190"/>
      <c r="D157" s="91"/>
      <c r="E157" s="25"/>
      <c r="F157" s="25"/>
      <c r="G157" s="25"/>
      <c r="H157" s="25" t="s">
        <v>307</v>
      </c>
      <c r="I157" s="25" t="s">
        <v>988</v>
      </c>
      <c r="J157" s="190">
        <f>(H2SO4_in_anode_slurry+NaOH_in_cathode_slurry)/1000</f>
        <v>5.3587786259541993E-4</v>
      </c>
      <c r="K157" s="28" t="s">
        <v>3</v>
      </c>
      <c r="L157" s="25" t="s">
        <v>989</v>
      </c>
      <c r="M157" s="28"/>
    </row>
    <row r="158" spans="1:13" x14ac:dyDescent="0.3">
      <c r="A158" s="555"/>
      <c r="B158" s="220"/>
      <c r="C158" s="199"/>
      <c r="D158" s="147"/>
      <c r="E158" s="72"/>
      <c r="F158" s="72"/>
      <c r="G158" s="72"/>
      <c r="H158" s="72" t="s">
        <v>5</v>
      </c>
      <c r="I158" t="s">
        <v>381</v>
      </c>
      <c r="J158" s="199">
        <v>4.5800000000000002E-10</v>
      </c>
      <c r="K158" s="71" t="s">
        <v>22</v>
      </c>
      <c r="L158" s="139" t="s">
        <v>666</v>
      </c>
      <c r="M158" s="71"/>
    </row>
    <row r="159" spans="1:13" ht="28.8" x14ac:dyDescent="0.3">
      <c r="A159" s="555"/>
      <c r="H159" s="16" t="s">
        <v>5</v>
      </c>
      <c r="I159" s="72" t="s">
        <v>15</v>
      </c>
      <c r="J159" s="150">
        <f>NaOH_in_cathode_slurry</f>
        <v>0.33078880407124683</v>
      </c>
      <c r="K159" s="486" t="s">
        <v>3</v>
      </c>
      <c r="L159" s="477" t="s">
        <v>1020</v>
      </c>
      <c r="M159" s="76"/>
    </row>
    <row r="160" spans="1:13" ht="28.8" x14ac:dyDescent="0.3">
      <c r="A160" s="556"/>
      <c r="B160" s="54" t="s">
        <v>308</v>
      </c>
      <c r="C160" s="88"/>
      <c r="D160" s="88"/>
      <c r="E160" s="54"/>
      <c r="F160" s="54"/>
      <c r="G160" s="54"/>
      <c r="H160" s="54" t="s">
        <v>5</v>
      </c>
      <c r="I160" s="54" t="s">
        <v>158</v>
      </c>
      <c r="J160" s="260">
        <f>J186</f>
        <v>0.20508905852417303</v>
      </c>
      <c r="K160" s="55" t="s">
        <v>3</v>
      </c>
      <c r="L160" s="480" t="s">
        <v>1021</v>
      </c>
      <c r="M160" s="55"/>
    </row>
    <row r="161" spans="1:13" ht="72" x14ac:dyDescent="0.3">
      <c r="A161" s="552" t="s">
        <v>183</v>
      </c>
      <c r="B161" s="60" t="s">
        <v>92</v>
      </c>
      <c r="C161" s="51">
        <v>1</v>
      </c>
      <c r="D161" s="51"/>
      <c r="E161" s="50" t="s">
        <v>95</v>
      </c>
      <c r="F161" s="50"/>
      <c r="G161" s="50"/>
      <c r="H161" s="50"/>
      <c r="I161" s="50" t="s">
        <v>753</v>
      </c>
      <c r="J161" s="51">
        <v>1</v>
      </c>
      <c r="K161" s="42" t="s">
        <v>3</v>
      </c>
      <c r="L161" s="61" t="s">
        <v>905</v>
      </c>
      <c r="M161"/>
    </row>
    <row r="162" spans="1:13" ht="28.8" x14ac:dyDescent="0.3">
      <c r="A162" s="553"/>
      <c r="B162" s="28" t="s">
        <v>150</v>
      </c>
      <c r="C162" s="34">
        <v>0.96</v>
      </c>
      <c r="E162" s="16" t="s">
        <v>95</v>
      </c>
      <c r="F162" s="16" t="s">
        <v>615</v>
      </c>
      <c r="H162" s="16" t="s">
        <v>5</v>
      </c>
      <c r="I162" s="25" t="s">
        <v>151</v>
      </c>
      <c r="J162" s="34">
        <v>0.96</v>
      </c>
      <c r="K162" s="15" t="s">
        <v>3</v>
      </c>
      <c r="L162" s="16" t="s">
        <v>185</v>
      </c>
      <c r="M162"/>
    </row>
    <row r="163" spans="1:13" ht="43.2" x14ac:dyDescent="0.3">
      <c r="A163" s="553"/>
      <c r="B163" s="28" t="s">
        <v>56</v>
      </c>
      <c r="C163" s="34">
        <v>0.24</v>
      </c>
      <c r="E163" s="16" t="s">
        <v>95</v>
      </c>
      <c r="F163" s="16" t="s">
        <v>615</v>
      </c>
      <c r="H163" s="16" t="s">
        <v>5</v>
      </c>
      <c r="I163" s="16" t="s">
        <v>186</v>
      </c>
      <c r="J163" s="34">
        <f>C163</f>
        <v>0.24</v>
      </c>
      <c r="K163" s="15" t="s">
        <v>3</v>
      </c>
      <c r="L163" s="25" t="s">
        <v>187</v>
      </c>
      <c r="M163"/>
    </row>
    <row r="164" spans="1:13" x14ac:dyDescent="0.3">
      <c r="A164" s="553"/>
      <c r="B164" s="28"/>
      <c r="H164" s="16" t="s">
        <v>1010</v>
      </c>
      <c r="I164" s="16" t="s">
        <v>1007</v>
      </c>
      <c r="J164" s="135">
        <f>J172 * (32/(32+12))</f>
        <v>0.31785890909090908</v>
      </c>
      <c r="K164" s="15" t="s">
        <v>3</v>
      </c>
      <c r="L164" s="25" t="s">
        <v>1009</v>
      </c>
      <c r="M164"/>
    </row>
    <row r="165" spans="1:13" ht="72" x14ac:dyDescent="0.3">
      <c r="A165" s="553"/>
      <c r="B165" s="28" t="s">
        <v>96</v>
      </c>
      <c r="C165" s="34">
        <v>5.1479999999999997</v>
      </c>
      <c r="E165" s="16" t="s">
        <v>138</v>
      </c>
      <c r="F165" s="16" t="s">
        <v>615</v>
      </c>
      <c r="H165" s="16" t="s">
        <v>5</v>
      </c>
      <c r="I165" s="17" t="s">
        <v>754</v>
      </c>
      <c r="J165" s="19">
        <f>C165*mmBTU_to_MJ*10^(-3)</f>
        <v>5.4314282880000002</v>
      </c>
      <c r="K165" s="15" t="s">
        <v>21</v>
      </c>
      <c r="L165" s="16" t="s">
        <v>906</v>
      </c>
      <c r="M165"/>
    </row>
    <row r="166" spans="1:13" ht="28.8" x14ac:dyDescent="0.3">
      <c r="A166" s="553"/>
      <c r="B166" s="28" t="s">
        <v>97</v>
      </c>
      <c r="C166" s="34">
        <v>13.93</v>
      </c>
      <c r="E166" s="16" t="s">
        <v>138</v>
      </c>
      <c r="F166" s="16" t="s">
        <v>615</v>
      </c>
      <c r="H166" s="16" t="s">
        <v>5</v>
      </c>
      <c r="I166" s="16" t="s">
        <v>45</v>
      </c>
      <c r="J166" s="19">
        <f>C166*mmBTU_to_MJ*MJ_to_kWh*10^(-3)</f>
        <v>4.0824838437622404</v>
      </c>
      <c r="K166" s="15" t="s">
        <v>4</v>
      </c>
      <c r="L166" s="16" t="s">
        <v>192</v>
      </c>
      <c r="M166"/>
    </row>
    <row r="167" spans="1:13" ht="57.6" x14ac:dyDescent="0.3">
      <c r="A167" s="553"/>
      <c r="B167" s="28"/>
      <c r="H167" s="16" t="s">
        <v>5</v>
      </c>
      <c r="I167" s="16" t="s">
        <v>16</v>
      </c>
      <c r="J167" s="32">
        <v>4.0000000000000001E-10</v>
      </c>
      <c r="K167" s="15" t="s">
        <v>22</v>
      </c>
      <c r="L167" s="16" t="s">
        <v>1008</v>
      </c>
      <c r="M167"/>
    </row>
    <row r="168" spans="1:13" ht="28.8" x14ac:dyDescent="0.3">
      <c r="A168" s="553"/>
      <c r="B168" s="28" t="s">
        <v>58</v>
      </c>
      <c r="C168" s="34">
        <v>9300</v>
      </c>
      <c r="E168" s="16" t="s">
        <v>137</v>
      </c>
      <c r="F168" s="16" t="s">
        <v>615</v>
      </c>
      <c r="H168" s="50" t="s">
        <v>164</v>
      </c>
      <c r="I168" s="16" t="s">
        <v>154</v>
      </c>
      <c r="J168" s="32">
        <f>C168*10^(-6)</f>
        <v>9.2999999999999992E-3</v>
      </c>
      <c r="K168" s="15" t="s">
        <v>3</v>
      </c>
      <c r="L168" s="568" t="s">
        <v>907</v>
      </c>
      <c r="M168"/>
    </row>
    <row r="169" spans="1:13" ht="28.8" x14ac:dyDescent="0.3">
      <c r="A169" s="553"/>
      <c r="B169" s="28" t="s">
        <v>215</v>
      </c>
      <c r="C169" s="34">
        <v>2050.25</v>
      </c>
      <c r="E169" s="16" t="s">
        <v>137</v>
      </c>
      <c r="F169" s="16" t="s">
        <v>615</v>
      </c>
      <c r="H169" s="50" t="s">
        <v>164</v>
      </c>
      <c r="I169" s="15" t="s">
        <v>264</v>
      </c>
      <c r="J169" s="32">
        <f t="shared" ref="J169:J172" si="6">C169*10^(-6)</f>
        <v>2.05025E-3</v>
      </c>
      <c r="K169" s="15" t="s">
        <v>3</v>
      </c>
      <c r="L169" s="568"/>
      <c r="M169"/>
    </row>
    <row r="170" spans="1:13" ht="28.8" x14ac:dyDescent="0.3">
      <c r="A170" s="553"/>
      <c r="B170" s="28" t="s">
        <v>214</v>
      </c>
      <c r="C170" s="34">
        <v>4100.5</v>
      </c>
      <c r="E170" s="16" t="s">
        <v>137</v>
      </c>
      <c r="F170" s="16" t="s">
        <v>615</v>
      </c>
      <c r="H170" s="50" t="s">
        <v>164</v>
      </c>
      <c r="I170" s="16" t="s">
        <v>191</v>
      </c>
      <c r="J170" s="32">
        <f t="shared" si="6"/>
        <v>4.1005E-3</v>
      </c>
      <c r="K170" s="15" t="s">
        <v>3</v>
      </c>
      <c r="L170" s="568"/>
      <c r="M170"/>
    </row>
    <row r="171" spans="1:13" ht="28.8" x14ac:dyDescent="0.3">
      <c r="A171" s="553"/>
      <c r="B171" s="28" t="s">
        <v>57</v>
      </c>
      <c r="C171" s="34">
        <v>63812</v>
      </c>
      <c r="E171" s="16" t="s">
        <v>137</v>
      </c>
      <c r="F171" s="16" t="s">
        <v>615</v>
      </c>
      <c r="H171" s="50" t="s">
        <v>164</v>
      </c>
      <c r="I171" s="16" t="s">
        <v>190</v>
      </c>
      <c r="J171" s="32">
        <f t="shared" si="6"/>
        <v>6.3811999999999994E-2</v>
      </c>
      <c r="K171" s="15" t="s">
        <v>3</v>
      </c>
      <c r="L171" s="568"/>
      <c r="M171"/>
    </row>
    <row r="172" spans="1:13" ht="27" customHeight="1" x14ac:dyDescent="0.3">
      <c r="A172" s="558"/>
      <c r="B172" s="118" t="s">
        <v>38</v>
      </c>
      <c r="C172" s="88">
        <v>437056</v>
      </c>
      <c r="D172" s="88"/>
      <c r="E172" s="54" t="s">
        <v>137</v>
      </c>
      <c r="F172" s="54" t="s">
        <v>615</v>
      </c>
      <c r="G172" s="54"/>
      <c r="H172" s="54" t="s">
        <v>164</v>
      </c>
      <c r="I172" s="54" t="s">
        <v>41</v>
      </c>
      <c r="J172" s="134">
        <f t="shared" si="6"/>
        <v>0.437056</v>
      </c>
      <c r="K172" s="55" t="s">
        <v>3</v>
      </c>
      <c r="L172" s="569"/>
      <c r="M172"/>
    </row>
    <row r="173" spans="1:13" ht="14.55" customHeight="1" x14ac:dyDescent="0.3">
      <c r="A173" s="554" t="s">
        <v>599</v>
      </c>
      <c r="B173" s="60" t="s">
        <v>86</v>
      </c>
      <c r="C173" s="51">
        <f>SUM(C174:C176)</f>
        <v>46.65</v>
      </c>
      <c r="D173" s="51"/>
      <c r="E173" s="50"/>
      <c r="F173" s="50"/>
      <c r="G173" s="50"/>
      <c r="H173" s="50" t="s">
        <v>7</v>
      </c>
      <c r="I173" s="50" t="s">
        <v>749</v>
      </c>
      <c r="J173" s="51">
        <v>1</v>
      </c>
      <c r="K173" s="42" t="s">
        <v>3</v>
      </c>
      <c r="L173" s="50"/>
      <c r="M173" s="42"/>
    </row>
    <row r="174" spans="1:13" ht="28.8" x14ac:dyDescent="0.3">
      <c r="A174" s="555"/>
      <c r="B174" s="15" t="s">
        <v>146</v>
      </c>
      <c r="C174" s="526">
        <v>41.52</v>
      </c>
      <c r="D174" s="318">
        <f>C174/$C$173</f>
        <v>0.89003215434083616</v>
      </c>
      <c r="E174" s="16" t="s">
        <v>3</v>
      </c>
      <c r="F174" s="16" t="s">
        <v>376</v>
      </c>
      <c r="G174" s="564" t="s">
        <v>782</v>
      </c>
      <c r="H174" s="16" t="s">
        <v>5</v>
      </c>
      <c r="I174" s="16" t="s">
        <v>756</v>
      </c>
      <c r="J174" s="19">
        <v>0.95</v>
      </c>
      <c r="K174" s="15" t="s">
        <v>3</v>
      </c>
    </row>
    <row r="175" spans="1:13" ht="28.8" x14ac:dyDescent="0.3">
      <c r="A175" s="555"/>
      <c r="B175" s="15" t="s">
        <v>18</v>
      </c>
      <c r="C175" s="526">
        <v>2.8</v>
      </c>
      <c r="D175" s="318">
        <f>C175/$C$173</f>
        <v>6.0021436227224008E-2</v>
      </c>
      <c r="E175" s="16" t="s">
        <v>3</v>
      </c>
      <c r="F175" s="16" t="s">
        <v>376</v>
      </c>
      <c r="G175" s="565"/>
      <c r="H175" s="16" t="s">
        <v>5</v>
      </c>
      <c r="I175" s="16" t="s">
        <v>18</v>
      </c>
      <c r="J175" s="19">
        <v>2.5000000000000001E-2</v>
      </c>
      <c r="K175" s="15" t="s">
        <v>3</v>
      </c>
      <c r="L175" s="434"/>
    </row>
    <row r="176" spans="1:13" ht="28.8" x14ac:dyDescent="0.3">
      <c r="A176" s="555"/>
      <c r="B176" s="15" t="s">
        <v>98</v>
      </c>
      <c r="C176" s="526">
        <v>2.33</v>
      </c>
      <c r="D176" s="318">
        <f>C176/$C$173</f>
        <v>4.9946409431939981E-2</v>
      </c>
      <c r="E176" s="16" t="s">
        <v>3</v>
      </c>
      <c r="F176" s="16" t="s">
        <v>376</v>
      </c>
      <c r="G176" s="566"/>
      <c r="H176" s="16" t="s">
        <v>5</v>
      </c>
      <c r="I176" s="25" t="s">
        <v>153</v>
      </c>
      <c r="J176" s="19">
        <v>2.5000000000000001E-2</v>
      </c>
      <c r="K176" s="15" t="s">
        <v>3</v>
      </c>
      <c r="L176" s="433" t="s">
        <v>908</v>
      </c>
    </row>
    <row r="177" spans="1:13" ht="28.8" x14ac:dyDescent="0.3">
      <c r="A177" s="555"/>
      <c r="B177" s="15" t="s">
        <v>145</v>
      </c>
      <c r="C177" s="21" t="s">
        <v>69</v>
      </c>
      <c r="G177" s="33"/>
      <c r="H177" s="16" t="s">
        <v>5</v>
      </c>
      <c r="I177" s="25" t="s">
        <v>134</v>
      </c>
      <c r="J177" s="223">
        <f>0.28*0.02</f>
        <v>5.6000000000000008E-3</v>
      </c>
      <c r="K177" s="15" t="s">
        <v>3</v>
      </c>
      <c r="L177" s="25" t="s">
        <v>1158</v>
      </c>
    </row>
    <row r="178" spans="1:13" ht="331.2" x14ac:dyDescent="0.3">
      <c r="A178" s="555"/>
      <c r="B178" s="16" t="s">
        <v>133</v>
      </c>
      <c r="C178" s="34" t="s">
        <v>131</v>
      </c>
      <c r="E178" s="25" t="s">
        <v>304</v>
      </c>
      <c r="F178" s="16" t="s">
        <v>123</v>
      </c>
      <c r="G178" s="144" t="s">
        <v>580</v>
      </c>
      <c r="H178" s="16" t="s">
        <v>5</v>
      </c>
      <c r="I178" s="17" t="s">
        <v>754</v>
      </c>
      <c r="J178" s="150">
        <f>(AVERAGE(56,71)*kWh_cell_NMC111)/J84</f>
        <v>25.747936213553864</v>
      </c>
      <c r="K178" s="28" t="s">
        <v>21</v>
      </c>
      <c r="L178" s="16" t="s">
        <v>937</v>
      </c>
    </row>
    <row r="179" spans="1:13" ht="28.8" x14ac:dyDescent="0.3">
      <c r="A179" s="555"/>
      <c r="B179" s="139" t="s">
        <v>297</v>
      </c>
      <c r="C179" s="189">
        <v>0.33099999999999996</v>
      </c>
      <c r="D179" s="431"/>
      <c r="E179" s="139" t="s">
        <v>194</v>
      </c>
      <c r="F179" s="139" t="s">
        <v>299</v>
      </c>
      <c r="G179" s="192" t="s">
        <v>783</v>
      </c>
      <c r="H179" s="139" t="s">
        <v>5</v>
      </c>
      <c r="I179" s="139" t="s">
        <v>45</v>
      </c>
      <c r="J179" s="261">
        <f>C179/'info solvents'!$O$5*specific_energy_NMC111</f>
        <v>0.44058783783783784</v>
      </c>
      <c r="K179" s="220" t="s">
        <v>4</v>
      </c>
      <c r="L179" s="403" t="s">
        <v>386</v>
      </c>
      <c r="M179" s="71"/>
    </row>
    <row r="180" spans="1:13" ht="28.8" x14ac:dyDescent="0.3">
      <c r="A180" s="555"/>
      <c r="B180" s="11" t="s">
        <v>135</v>
      </c>
      <c r="C180" s="218">
        <v>1</v>
      </c>
      <c r="D180" s="218"/>
      <c r="E180" s="5" t="s">
        <v>125</v>
      </c>
      <c r="F180" s="5"/>
      <c r="G180" s="193" t="s">
        <v>126</v>
      </c>
      <c r="H180" s="5" t="s">
        <v>164</v>
      </c>
      <c r="I180" s="25" t="s">
        <v>134</v>
      </c>
      <c r="J180" s="254">
        <f>NMP</f>
        <v>5.6000000000000008E-3</v>
      </c>
      <c r="K180" s="11" t="s">
        <v>3</v>
      </c>
      <c r="L180" s="194"/>
      <c r="M180" s="11"/>
    </row>
    <row r="181" spans="1:13" ht="15" x14ac:dyDescent="0.3">
      <c r="A181" s="556"/>
      <c r="B181" s="529"/>
      <c r="C181" s="262"/>
      <c r="D181" s="262"/>
      <c r="E181" s="480"/>
      <c r="F181" s="480"/>
      <c r="G181" s="480"/>
      <c r="H181" s="480" t="s">
        <v>5</v>
      </c>
      <c r="I181" s="480" t="s">
        <v>16</v>
      </c>
      <c r="J181" s="262">
        <v>4.0000000000000001E-10</v>
      </c>
      <c r="K181" s="529" t="s">
        <v>22</v>
      </c>
      <c r="L181" s="530" t="s">
        <v>661</v>
      </c>
      <c r="M181" s="529"/>
    </row>
    <row r="182" spans="1:13" ht="15" x14ac:dyDescent="0.3">
      <c r="A182" s="554" t="s">
        <v>73</v>
      </c>
      <c r="B182" s="105" t="s">
        <v>757</v>
      </c>
      <c r="C182" s="276"/>
      <c r="D182" s="276"/>
      <c r="E182" s="140"/>
      <c r="F182" s="140"/>
      <c r="G182" s="140"/>
      <c r="H182" s="140" t="s">
        <v>7</v>
      </c>
      <c r="I182" s="140" t="s">
        <v>750</v>
      </c>
      <c r="J182" s="276">
        <v>1</v>
      </c>
      <c r="K182" s="105"/>
      <c r="L182" s="231"/>
      <c r="M182" s="105"/>
    </row>
    <row r="183" spans="1:13" ht="14.55" customHeight="1" x14ac:dyDescent="0.3">
      <c r="A183" s="555"/>
      <c r="B183" s="56"/>
      <c r="C183" s="51">
        <v>6.4</v>
      </c>
      <c r="D183" s="473">
        <f>C183/$C$173</f>
        <v>0.13719185423365488</v>
      </c>
      <c r="E183" s="50" t="s">
        <v>3</v>
      </c>
      <c r="F183" s="50" t="s">
        <v>40</v>
      </c>
      <c r="G183" s="50"/>
      <c r="H183" s="50" t="s">
        <v>5</v>
      </c>
      <c r="I183" s="50" t="s">
        <v>12</v>
      </c>
      <c r="J183" s="137">
        <v>1</v>
      </c>
      <c r="K183" s="42" t="s">
        <v>3</v>
      </c>
      <c r="L183" s="50"/>
      <c r="M183" s="42"/>
    </row>
    <row r="184" spans="1:13" x14ac:dyDescent="0.3">
      <c r="A184" s="555"/>
      <c r="H184" s="16" t="s">
        <v>5</v>
      </c>
      <c r="I184" s="16" t="s">
        <v>13</v>
      </c>
      <c r="J184" s="19">
        <f>J183</f>
        <v>1</v>
      </c>
      <c r="K184" s="15" t="s">
        <v>3</v>
      </c>
    </row>
    <row r="185" spans="1:13" ht="72" x14ac:dyDescent="0.3">
      <c r="A185" s="555"/>
      <c r="H185" s="16" t="s">
        <v>5</v>
      </c>
      <c r="I185" s="72" t="s">
        <v>15</v>
      </c>
      <c r="J185" s="150">
        <f>0.13*Al_cathode/0.393</f>
        <v>0.33078880407124683</v>
      </c>
      <c r="K185" s="15" t="s">
        <v>3</v>
      </c>
      <c r="L185" s="139" t="s">
        <v>1092</v>
      </c>
    </row>
    <row r="186" spans="1:13" s="209" customFormat="1" ht="72" x14ac:dyDescent="0.3">
      <c r="A186" s="555"/>
      <c r="B186" s="220"/>
      <c r="C186" s="189"/>
      <c r="D186" s="189"/>
      <c r="E186" s="139"/>
      <c r="F186" s="139"/>
      <c r="G186" s="139"/>
      <c r="H186" s="25" t="s">
        <v>5</v>
      </c>
      <c r="I186" s="25" t="s">
        <v>1022</v>
      </c>
      <c r="J186" s="474">
        <f>0.62*NaOH_in_cathode_slurry</f>
        <v>0.20508905852417303</v>
      </c>
      <c r="K186" s="475" t="s">
        <v>3</v>
      </c>
      <c r="L186" s="477" t="s">
        <v>990</v>
      </c>
      <c r="M186" s="476"/>
    </row>
    <row r="187" spans="1:13" x14ac:dyDescent="0.3">
      <c r="A187" s="555"/>
      <c r="B187" s="71"/>
      <c r="C187" s="147"/>
      <c r="D187" s="147"/>
      <c r="E187" s="72"/>
      <c r="F187" s="72"/>
      <c r="G187" s="72"/>
      <c r="H187" s="16" t="s">
        <v>5</v>
      </c>
      <c r="I187" s="72" t="s">
        <v>657</v>
      </c>
      <c r="J187" s="199">
        <v>1.5E-10</v>
      </c>
      <c r="K187" s="71" t="s">
        <v>22</v>
      </c>
      <c r="L187" s="140" t="s">
        <v>991</v>
      </c>
      <c r="M187" s="71"/>
    </row>
    <row r="188" spans="1:13" x14ac:dyDescent="0.3">
      <c r="A188" s="556"/>
      <c r="B188" s="118"/>
      <c r="C188" s="134"/>
      <c r="D188" s="88"/>
      <c r="E188" s="54"/>
      <c r="F188" s="54"/>
      <c r="G188" s="54"/>
      <c r="H188" s="54" t="s">
        <v>307</v>
      </c>
      <c r="I188" s="63" t="s">
        <v>988</v>
      </c>
      <c r="J188" s="259">
        <f>SUM(J186,J185)</f>
        <v>0.53587786259541992</v>
      </c>
      <c r="K188" s="55" t="s">
        <v>3</v>
      </c>
      <c r="L188" s="63" t="s">
        <v>989</v>
      </c>
      <c r="M188" s="55"/>
    </row>
    <row r="189" spans="1:13" ht="28.8" x14ac:dyDescent="0.3">
      <c r="A189" s="567" t="s">
        <v>759</v>
      </c>
      <c r="B189" s="42" t="s">
        <v>760</v>
      </c>
      <c r="C189" s="51">
        <v>1</v>
      </c>
      <c r="D189" s="51"/>
      <c r="E189" s="50" t="s">
        <v>3</v>
      </c>
      <c r="F189" s="50"/>
      <c r="G189" s="50"/>
      <c r="H189" s="50" t="s">
        <v>30</v>
      </c>
      <c r="I189" s="50" t="s">
        <v>756</v>
      </c>
      <c r="J189" s="51">
        <v>1</v>
      </c>
      <c r="K189" s="42" t="s">
        <v>3</v>
      </c>
      <c r="L189" s="61" t="s">
        <v>315</v>
      </c>
      <c r="M189" s="42"/>
    </row>
    <row r="190" spans="1:13" x14ac:dyDescent="0.3">
      <c r="A190" s="553"/>
      <c r="B190" s="15" t="s">
        <v>43</v>
      </c>
      <c r="C190" s="19">
        <v>0.94899999999999995</v>
      </c>
      <c r="E190" s="16" t="s">
        <v>3</v>
      </c>
      <c r="F190" s="16" t="s">
        <v>40</v>
      </c>
      <c r="H190" s="17" t="s">
        <v>5</v>
      </c>
      <c r="I190" s="16" t="s">
        <v>758</v>
      </c>
      <c r="J190" s="34">
        <f>C190</f>
        <v>0.94899999999999995</v>
      </c>
      <c r="K190" s="15" t="s">
        <v>3</v>
      </c>
      <c r="M190"/>
    </row>
    <row r="191" spans="1:13" x14ac:dyDescent="0.3">
      <c r="A191" s="553"/>
      <c r="B191" s="15" t="s">
        <v>44</v>
      </c>
      <c r="C191" s="19">
        <v>0.38300000000000001</v>
      </c>
      <c r="E191" s="16" t="s">
        <v>3</v>
      </c>
      <c r="F191" s="16" t="s">
        <v>40</v>
      </c>
      <c r="H191" s="17" t="s">
        <v>5</v>
      </c>
      <c r="I191" s="200" t="s">
        <v>44</v>
      </c>
      <c r="J191" s="34">
        <f>C191</f>
        <v>0.38300000000000001</v>
      </c>
      <c r="K191" s="15" t="s">
        <v>3</v>
      </c>
    </row>
    <row r="192" spans="1:13" ht="57.6" x14ac:dyDescent="0.3">
      <c r="A192" s="553"/>
      <c r="B192" s="15" t="s">
        <v>136</v>
      </c>
      <c r="C192" s="34">
        <v>23.454000000000001</v>
      </c>
      <c r="E192" s="16" t="s">
        <v>633</v>
      </c>
      <c r="F192" s="16" t="s">
        <v>629</v>
      </c>
      <c r="G192" s="16" t="s">
        <v>630</v>
      </c>
      <c r="H192" s="17" t="s">
        <v>5</v>
      </c>
      <c r="I192" s="16" t="s">
        <v>45</v>
      </c>
      <c r="J192" s="19">
        <f>C192*mmBTU_to_MJ*MJ_to_kWh/1000</f>
        <v>6.8736953389518733</v>
      </c>
      <c r="K192" s="15" t="s">
        <v>4</v>
      </c>
      <c r="L192" s="25" t="s">
        <v>634</v>
      </c>
    </row>
    <row r="193" spans="1:13" x14ac:dyDescent="0.3">
      <c r="A193" s="553"/>
      <c r="H193" s="17" t="s">
        <v>5</v>
      </c>
      <c r="I193" s="16" t="s">
        <v>16</v>
      </c>
      <c r="J193" s="32">
        <f>1/(27000*10^(3)*50)</f>
        <v>7.4074074074074071E-10</v>
      </c>
      <c r="K193" s="15" t="s">
        <v>22</v>
      </c>
      <c r="L193" s="25" t="s">
        <v>663</v>
      </c>
    </row>
    <row r="194" spans="1:13" x14ac:dyDescent="0.3">
      <c r="A194" s="553"/>
      <c r="B194" s="15" t="s">
        <v>38</v>
      </c>
      <c r="C194" s="34">
        <v>206956</v>
      </c>
      <c r="E194" s="16" t="s">
        <v>137</v>
      </c>
      <c r="F194" s="16" t="s">
        <v>102</v>
      </c>
      <c r="H194" s="16" t="s">
        <v>164</v>
      </c>
      <c r="I194" s="16" t="s">
        <v>41</v>
      </c>
      <c r="J194" s="256">
        <f>C194*10^(-6)</f>
        <v>0.206956</v>
      </c>
      <c r="K194" s="15" t="s">
        <v>3</v>
      </c>
      <c r="L194" s="16" t="s">
        <v>1011</v>
      </c>
    </row>
    <row r="195" spans="1:13" ht="43.2" x14ac:dyDescent="0.3">
      <c r="A195" s="558"/>
      <c r="B195" s="55" t="s">
        <v>144</v>
      </c>
      <c r="C195" s="62" t="s">
        <v>69</v>
      </c>
      <c r="D195" s="88"/>
      <c r="E195" s="54"/>
      <c r="F195" s="54"/>
      <c r="G195" s="54" t="s">
        <v>784</v>
      </c>
      <c r="H195" s="54" t="s">
        <v>417</v>
      </c>
      <c r="I195" s="63" t="s">
        <v>32</v>
      </c>
      <c r="J195" s="259">
        <f>(SUM($J$190:$J$191)-SUM($J$189,$J$194))</f>
        <v>0.12504399999999993</v>
      </c>
      <c r="K195" s="118" t="s">
        <v>3</v>
      </c>
      <c r="L195" s="63" t="s">
        <v>368</v>
      </c>
      <c r="M195" s="55"/>
    </row>
    <row r="196" spans="1:13" ht="44.4" x14ac:dyDescent="0.3">
      <c r="A196" s="567" t="s">
        <v>761</v>
      </c>
      <c r="B196" s="42" t="s">
        <v>761</v>
      </c>
      <c r="C196" s="51">
        <v>1</v>
      </c>
      <c r="D196" s="51"/>
      <c r="E196" s="50" t="s">
        <v>3</v>
      </c>
      <c r="F196" s="50"/>
      <c r="G196" s="50"/>
      <c r="H196" s="50" t="s">
        <v>30</v>
      </c>
      <c r="I196" s="50" t="s">
        <v>758</v>
      </c>
      <c r="J196" s="51">
        <v>1</v>
      </c>
      <c r="K196" s="42" t="s">
        <v>3</v>
      </c>
      <c r="L196" s="50" t="s">
        <v>316</v>
      </c>
      <c r="M196" s="42"/>
    </row>
    <row r="197" spans="1:13" ht="28.8" x14ac:dyDescent="0.3">
      <c r="A197" s="553"/>
      <c r="B197" s="15" t="s">
        <v>539</v>
      </c>
      <c r="C197" s="219">
        <v>0.56350593547447403</v>
      </c>
      <c r="E197" s="16" t="s">
        <v>3</v>
      </c>
      <c r="F197" s="16" t="s">
        <v>617</v>
      </c>
      <c r="H197" s="17" t="s">
        <v>5</v>
      </c>
      <c r="I197" s="16" t="s">
        <v>46</v>
      </c>
      <c r="J197" s="19">
        <f>C197</f>
        <v>0.56350593547447403</v>
      </c>
      <c r="K197" s="15" t="s">
        <v>3</v>
      </c>
    </row>
    <row r="198" spans="1:13" ht="28.8" x14ac:dyDescent="0.3">
      <c r="A198" s="553"/>
      <c r="B198" s="15" t="s">
        <v>33</v>
      </c>
      <c r="C198" s="219">
        <v>0.54985070278930903</v>
      </c>
      <c r="E198" s="16" t="s">
        <v>3</v>
      </c>
      <c r="F198" s="16" t="s">
        <v>617</v>
      </c>
      <c r="H198" s="17" t="s">
        <v>5</v>
      </c>
      <c r="I198" s="16" t="s">
        <v>47</v>
      </c>
      <c r="J198" s="19">
        <f>C198</f>
        <v>0.54985070278930903</v>
      </c>
      <c r="K198" s="15" t="s">
        <v>3</v>
      </c>
    </row>
    <row r="199" spans="1:13" ht="28.8" x14ac:dyDescent="0.3">
      <c r="A199" s="553"/>
      <c r="B199" s="15" t="s">
        <v>34</v>
      </c>
      <c r="C199" s="219">
        <v>0.56437987036632398</v>
      </c>
      <c r="E199" s="16" t="s">
        <v>3</v>
      </c>
      <c r="F199" s="16" t="s">
        <v>617</v>
      </c>
      <c r="H199" s="17" t="s">
        <v>5</v>
      </c>
      <c r="I199" s="16" t="s">
        <v>48</v>
      </c>
      <c r="J199" s="19">
        <f>C199</f>
        <v>0.56437987036632398</v>
      </c>
      <c r="K199" s="15" t="s">
        <v>3</v>
      </c>
    </row>
    <row r="200" spans="1:13" ht="28.8" x14ac:dyDescent="0.3">
      <c r="A200" s="553"/>
      <c r="B200" s="15" t="s">
        <v>35</v>
      </c>
      <c r="C200" s="19">
        <v>0.88953599999999999</v>
      </c>
      <c r="E200" s="16" t="s">
        <v>3</v>
      </c>
      <c r="F200" s="16" t="s">
        <v>617</v>
      </c>
      <c r="H200" s="17" t="s">
        <v>5</v>
      </c>
      <c r="I200" s="16" t="s">
        <v>15</v>
      </c>
      <c r="J200" s="19">
        <f>C200</f>
        <v>0.88953599999999999</v>
      </c>
      <c r="K200" s="15" t="s">
        <v>3</v>
      </c>
    </row>
    <row r="201" spans="1:13" ht="129.6" x14ac:dyDescent="0.3">
      <c r="A201" s="553"/>
      <c r="B201" s="15" t="s">
        <v>218</v>
      </c>
      <c r="C201" s="19">
        <v>0.123529411764706</v>
      </c>
      <c r="E201" s="16" t="s">
        <v>3</v>
      </c>
      <c r="F201" s="16" t="s">
        <v>617</v>
      </c>
      <c r="G201" s="16" t="s">
        <v>785</v>
      </c>
      <c r="H201" s="17" t="s">
        <v>5</v>
      </c>
      <c r="I201" s="16" t="s">
        <v>219</v>
      </c>
      <c r="J201" s="32">
        <f>C201*0.49*0.1</f>
        <v>6.0529411764705943E-3</v>
      </c>
      <c r="K201" s="15" t="s">
        <v>3</v>
      </c>
      <c r="L201" s="16" t="s">
        <v>1014</v>
      </c>
    </row>
    <row r="202" spans="1:13" x14ac:dyDescent="0.3">
      <c r="A202" s="553"/>
      <c r="C202" s="19"/>
      <c r="H202" s="17" t="s">
        <v>6</v>
      </c>
      <c r="I202" s="16" t="s">
        <v>220</v>
      </c>
      <c r="J202" s="32">
        <f>ammonia_liquid_cathode_precursor</f>
        <v>6.0529411764705943E-3</v>
      </c>
      <c r="K202" s="15" t="s">
        <v>3</v>
      </c>
      <c r="L202" s="16" t="s">
        <v>1013</v>
      </c>
    </row>
    <row r="203" spans="1:13" ht="72" x14ac:dyDescent="0.3">
      <c r="A203" s="553"/>
      <c r="B203" s="16" t="s">
        <v>142</v>
      </c>
      <c r="C203" s="34">
        <v>38.618000000000002</v>
      </c>
      <c r="E203" s="16" t="s">
        <v>631</v>
      </c>
      <c r="F203" s="16" t="s">
        <v>619</v>
      </c>
      <c r="G203" s="25" t="s">
        <v>638</v>
      </c>
      <c r="H203" s="17" t="s">
        <v>5</v>
      </c>
      <c r="I203" s="17" t="s">
        <v>755</v>
      </c>
      <c r="J203" s="150">
        <f>C203*mmBTU_to_MJ/1000</f>
        <v>40.744152608000007</v>
      </c>
      <c r="K203" s="15" t="s">
        <v>21</v>
      </c>
      <c r="L203" s="16" t="s">
        <v>909</v>
      </c>
    </row>
    <row r="204" spans="1:13" ht="28.8" x14ac:dyDescent="0.3">
      <c r="A204" s="553"/>
      <c r="B204" s="25" t="s">
        <v>143</v>
      </c>
      <c r="C204" s="21" t="s">
        <v>69</v>
      </c>
      <c r="G204" s="16" t="s">
        <v>632</v>
      </c>
      <c r="H204" s="17"/>
      <c r="I204" s="277" t="s">
        <v>69</v>
      </c>
      <c r="J204" s="224" t="s">
        <v>69</v>
      </c>
      <c r="K204" s="22"/>
    </row>
    <row r="205" spans="1:13" ht="28.8" x14ac:dyDescent="0.3">
      <c r="A205" s="553"/>
      <c r="B205" s="25"/>
      <c r="C205" s="21"/>
      <c r="H205" s="17" t="s">
        <v>5</v>
      </c>
      <c r="I205" s="25" t="s">
        <v>16</v>
      </c>
      <c r="J205" s="263">
        <f>1/(27000*10^(3)*50)</f>
        <v>7.4074074074074071E-10</v>
      </c>
      <c r="K205" s="22" t="s">
        <v>22</v>
      </c>
      <c r="L205" s="16" t="s">
        <v>659</v>
      </c>
    </row>
    <row r="206" spans="1:13" ht="57.6" x14ac:dyDescent="0.3">
      <c r="A206" s="553"/>
      <c r="B206" s="15" t="s">
        <v>39</v>
      </c>
      <c r="C206" s="19">
        <v>168.62310984308101</v>
      </c>
      <c r="E206" s="16" t="s">
        <v>42</v>
      </c>
      <c r="F206" s="16" t="s">
        <v>616</v>
      </c>
      <c r="G206" s="25" t="s">
        <v>786</v>
      </c>
      <c r="H206" s="25" t="s">
        <v>36</v>
      </c>
      <c r="I206" s="16" t="s">
        <v>161</v>
      </c>
      <c r="J206" s="135">
        <f>C206*gal_to_kg*10^(-6)</f>
        <v>6.3823847075606169E-4</v>
      </c>
      <c r="K206" s="15" t="s">
        <v>55</v>
      </c>
      <c r="L206" s="16" t="s">
        <v>910</v>
      </c>
    </row>
    <row r="207" spans="1:13" ht="86.4" x14ac:dyDescent="0.3">
      <c r="A207" s="572"/>
      <c r="B207" s="28" t="s">
        <v>141</v>
      </c>
      <c r="F207" s="16" t="s">
        <v>198</v>
      </c>
      <c r="G207" s="531"/>
      <c r="H207" s="16" t="s">
        <v>307</v>
      </c>
      <c r="I207" s="16" t="s">
        <v>1016</v>
      </c>
      <c r="J207" s="264">
        <f>SUM(J197:J200)-J196</f>
        <v>1.5672725086301074</v>
      </c>
      <c r="K207" s="15" t="s">
        <v>3</v>
      </c>
      <c r="L207" s="25" t="s">
        <v>1017</v>
      </c>
    </row>
    <row r="208" spans="1:13" ht="28.8" x14ac:dyDescent="0.3">
      <c r="A208" s="558"/>
      <c r="B208" s="55"/>
      <c r="C208" s="59"/>
      <c r="D208" s="88"/>
      <c r="E208" s="54"/>
      <c r="F208" s="54"/>
      <c r="G208" s="63"/>
      <c r="H208" s="63" t="s">
        <v>307</v>
      </c>
      <c r="I208" s="54" t="s">
        <v>54</v>
      </c>
      <c r="J208" s="173">
        <f>water_cathode_precursor</f>
        <v>6.3823847075606169E-4</v>
      </c>
      <c r="K208" s="55" t="s">
        <v>55</v>
      </c>
      <c r="L208" s="54" t="s">
        <v>419</v>
      </c>
      <c r="M208" s="55"/>
    </row>
    <row r="209" spans="1:13" ht="43.5" customHeight="1" x14ac:dyDescent="0.3">
      <c r="A209" s="554" t="s">
        <v>996</v>
      </c>
      <c r="B209" s="64" t="s">
        <v>201</v>
      </c>
      <c r="C209" s="97">
        <v>1</v>
      </c>
      <c r="D209" s="320"/>
      <c r="E209" s="64" t="s">
        <v>95</v>
      </c>
      <c r="F209" s="50" t="s">
        <v>644</v>
      </c>
      <c r="G209" s="50"/>
      <c r="H209" s="321" t="s">
        <v>7</v>
      </c>
      <c r="I209" s="50" t="s">
        <v>48</v>
      </c>
      <c r="J209" s="51">
        <f t="shared" ref="J209" si="7">C209</f>
        <v>1</v>
      </c>
      <c r="K209" s="42" t="s">
        <v>3</v>
      </c>
      <c r="L209" s="50" t="s">
        <v>1000</v>
      </c>
      <c r="M209" s="42"/>
    </row>
    <row r="210" spans="1:13" ht="43.2" x14ac:dyDescent="0.3">
      <c r="A210" s="555"/>
      <c r="B210" s="119" t="s">
        <v>764</v>
      </c>
      <c r="C210" s="98">
        <v>2.86</v>
      </c>
      <c r="D210" s="322"/>
      <c r="E210" s="120" t="s">
        <v>646</v>
      </c>
      <c r="F210" s="50" t="s">
        <v>645</v>
      </c>
      <c r="H210" s="39" t="s">
        <v>5</v>
      </c>
      <c r="I210" s="16" t="s">
        <v>763</v>
      </c>
      <c r="J210" s="256">
        <f>C210*(58.933/154.996)*(92.926/154.996)</f>
        <v>0.65195984098445203</v>
      </c>
      <c r="K210" s="15" t="s">
        <v>3</v>
      </c>
      <c r="L210" s="16" t="s">
        <v>1001</v>
      </c>
    </row>
    <row r="211" spans="1:13" ht="27.45" customHeight="1" x14ac:dyDescent="0.3">
      <c r="A211" s="555"/>
      <c r="B211" s="36" t="s">
        <v>224</v>
      </c>
      <c r="C211" s="99">
        <v>2.57</v>
      </c>
      <c r="D211" s="322"/>
      <c r="E211" s="120" t="s">
        <v>646</v>
      </c>
      <c r="F211" s="50" t="s">
        <v>644</v>
      </c>
      <c r="G211" s="15"/>
      <c r="H211" s="39" t="s">
        <v>5</v>
      </c>
      <c r="I211" s="16" t="s">
        <v>158</v>
      </c>
      <c r="J211" s="34">
        <f>C211*(58.933/154.996)</f>
        <v>0.97717237864202933</v>
      </c>
      <c r="K211" s="15" t="s">
        <v>3</v>
      </c>
      <c r="L211" s="13"/>
      <c r="M211"/>
    </row>
    <row r="212" spans="1:13" ht="28.8" x14ac:dyDescent="0.3">
      <c r="A212" s="555"/>
      <c r="B212" s="36" t="s">
        <v>206</v>
      </c>
      <c r="C212" s="99">
        <v>0.06</v>
      </c>
      <c r="D212" s="322"/>
      <c r="E212" s="120" t="s">
        <v>646</v>
      </c>
      <c r="F212" s="50" t="s">
        <v>644</v>
      </c>
      <c r="H212" s="39" t="s">
        <v>5</v>
      </c>
      <c r="I212" s="39" t="s">
        <v>369</v>
      </c>
      <c r="J212" s="256">
        <f>C212*(58.933/154.996)</f>
        <v>2.2813362925494848E-2</v>
      </c>
      <c r="K212" s="15" t="s">
        <v>3</v>
      </c>
      <c r="L212" s="537"/>
    </row>
    <row r="213" spans="1:13" ht="28.8" x14ac:dyDescent="0.3">
      <c r="A213" s="555"/>
      <c r="B213" s="36" t="s">
        <v>225</v>
      </c>
      <c r="C213" s="99">
        <v>1.409</v>
      </c>
      <c r="D213" s="322"/>
      <c r="E213" s="120" t="s">
        <v>646</v>
      </c>
      <c r="F213" s="50" t="s">
        <v>644</v>
      </c>
      <c r="G213" s="15"/>
      <c r="H213" s="39" t="s">
        <v>5</v>
      </c>
      <c r="I213" s="16" t="s">
        <v>233</v>
      </c>
      <c r="J213" s="34">
        <f>C213*(58.933/154.996)</f>
        <v>0.53573380603370402</v>
      </c>
      <c r="K213" s="15" t="s">
        <v>3</v>
      </c>
    </row>
    <row r="214" spans="1:13" ht="28.8" x14ac:dyDescent="0.3">
      <c r="A214" s="555"/>
      <c r="B214" s="36" t="s">
        <v>205</v>
      </c>
      <c r="C214" s="471">
        <v>4.7E-2</v>
      </c>
      <c r="D214" s="322"/>
      <c r="E214" s="120" t="s">
        <v>646</v>
      </c>
      <c r="F214" s="50" t="s">
        <v>644</v>
      </c>
      <c r="G214" s="15"/>
      <c r="H214" s="39" t="s">
        <v>5</v>
      </c>
      <c r="I214" s="16" t="s">
        <v>221</v>
      </c>
      <c r="J214" s="34">
        <f>C214*(58.933/154.996)</f>
        <v>1.7870467624970965E-2</v>
      </c>
      <c r="K214" s="15" t="s">
        <v>3</v>
      </c>
    </row>
    <row r="215" spans="1:13" ht="43.2" x14ac:dyDescent="0.3">
      <c r="A215" s="555"/>
      <c r="B215" s="36" t="s">
        <v>226</v>
      </c>
      <c r="C215" s="99">
        <v>0.08</v>
      </c>
      <c r="D215" s="322"/>
      <c r="E215" s="120" t="s">
        <v>646</v>
      </c>
      <c r="F215" s="50" t="s">
        <v>644</v>
      </c>
      <c r="G215" s="16" t="s">
        <v>787</v>
      </c>
      <c r="H215" s="39" t="s">
        <v>5</v>
      </c>
      <c r="I215" s="16" t="s">
        <v>765</v>
      </c>
      <c r="J215" s="34">
        <f>C215*(58.933/154.996)</f>
        <v>3.0417817233993134E-2</v>
      </c>
      <c r="K215" s="15" t="s">
        <v>3</v>
      </c>
    </row>
    <row r="216" spans="1:13" ht="28.8" x14ac:dyDescent="0.3">
      <c r="A216" s="555"/>
      <c r="B216" s="323" t="s">
        <v>204</v>
      </c>
      <c r="C216" s="324">
        <v>13092</v>
      </c>
      <c r="D216" s="322"/>
      <c r="E216" s="92" t="s">
        <v>647</v>
      </c>
      <c r="F216" s="50" t="s">
        <v>644</v>
      </c>
      <c r="G216" s="15"/>
      <c r="H216" s="25" t="s">
        <v>36</v>
      </c>
      <c r="I216" s="16" t="s">
        <v>161</v>
      </c>
      <c r="J216" s="34">
        <f>C216*(58.933/154.996)*gal_to_kg*10^(-6)</f>
        <v>1.8841259866448162E-2</v>
      </c>
      <c r="K216" s="15" t="s">
        <v>55</v>
      </c>
      <c r="L216" s="16" t="s">
        <v>998</v>
      </c>
    </row>
    <row r="217" spans="1:13" ht="28.8" x14ac:dyDescent="0.3">
      <c r="A217" s="555"/>
      <c r="B217" s="325" t="s">
        <v>203</v>
      </c>
      <c r="C217" s="326">
        <v>26.838000000000001</v>
      </c>
      <c r="D217" s="327"/>
      <c r="E217" s="328" t="s">
        <v>648</v>
      </c>
      <c r="F217" s="121" t="s">
        <v>644</v>
      </c>
      <c r="G217" s="71"/>
      <c r="H217" s="329" t="s">
        <v>5</v>
      </c>
      <c r="I217" s="72" t="s">
        <v>512</v>
      </c>
      <c r="J217" s="265">
        <f>C217*(58.93/154.95)*mmBTU_to_MJ/1000</f>
        <v>10.768879582104164</v>
      </c>
      <c r="K217" s="71" t="s">
        <v>21</v>
      </c>
      <c r="L217" s="72"/>
      <c r="M217" s="71"/>
    </row>
    <row r="218" spans="1:13" ht="28.8" x14ac:dyDescent="0.3">
      <c r="A218" s="555"/>
      <c r="B218" s="330" t="s">
        <v>202</v>
      </c>
      <c r="C218" s="331">
        <v>10.34</v>
      </c>
      <c r="D218" s="332"/>
      <c r="E218" s="333" t="s">
        <v>648</v>
      </c>
      <c r="F218" s="5" t="s">
        <v>644</v>
      </c>
      <c r="G218" s="11"/>
      <c r="H218" s="334" t="s">
        <v>5</v>
      </c>
      <c r="I218" s="5" t="s">
        <v>45</v>
      </c>
      <c r="J218" s="253">
        <f>C218*(58.933/154.996)*mmBTU_to_MJ*MJ_to_kWh/1000</f>
        <v>1.1522108384115171</v>
      </c>
      <c r="K218" s="11" t="s">
        <v>4</v>
      </c>
      <c r="L218" s="5" t="s">
        <v>231</v>
      </c>
      <c r="M218" s="11"/>
    </row>
    <row r="219" spans="1:13" ht="15" x14ac:dyDescent="0.3">
      <c r="A219" s="555"/>
      <c r="B219" s="330"/>
      <c r="C219" s="331"/>
      <c r="D219" s="332"/>
      <c r="E219" s="333"/>
      <c r="F219" s="5"/>
      <c r="G219" s="11"/>
      <c r="H219" s="472" t="s">
        <v>307</v>
      </c>
      <c r="I219" s="5" t="s">
        <v>54</v>
      </c>
      <c r="J219" s="254">
        <f>J216</f>
        <v>1.8841259866448162E-2</v>
      </c>
      <c r="K219" s="11" t="s">
        <v>55</v>
      </c>
      <c r="L219" s="5" t="s">
        <v>997</v>
      </c>
      <c r="M219" s="11"/>
    </row>
    <row r="220" spans="1:13" ht="28.8" x14ac:dyDescent="0.3">
      <c r="A220" s="555"/>
      <c r="B220" s="330"/>
      <c r="C220" s="331"/>
      <c r="D220" s="332"/>
      <c r="E220" s="333"/>
      <c r="F220" s="5"/>
      <c r="G220" s="11">
        <v>2.3245761180933698E-4</v>
      </c>
      <c r="H220" s="472" t="s">
        <v>6</v>
      </c>
      <c r="I220" s="5" t="s">
        <v>983</v>
      </c>
      <c r="J220" s="10">
        <f>((2*18.015)/154.996)/1000</f>
        <v>2.3245761180933698E-4</v>
      </c>
      <c r="K220" s="11" t="s">
        <v>55</v>
      </c>
      <c r="L220" s="5" t="s">
        <v>1005</v>
      </c>
      <c r="M220" s="11"/>
    </row>
    <row r="221" spans="1:13" ht="15" x14ac:dyDescent="0.3">
      <c r="A221" s="555"/>
      <c r="B221" s="330"/>
      <c r="C221" s="331"/>
      <c r="D221" s="332"/>
      <c r="E221" s="333"/>
      <c r="F221" s="5"/>
      <c r="G221" s="11"/>
      <c r="H221" s="472" t="s">
        <v>307</v>
      </c>
      <c r="I221" s="5" t="s">
        <v>984</v>
      </c>
      <c r="J221" s="532">
        <f>SUM(J210:J215)-J209-J220*1000</f>
        <v>1.0035100616353074</v>
      </c>
      <c r="K221" s="11" t="s">
        <v>3</v>
      </c>
      <c r="L221" s="5" t="s">
        <v>999</v>
      </c>
      <c r="M221" s="11"/>
    </row>
    <row r="222" spans="1:13" ht="57.6" x14ac:dyDescent="0.3">
      <c r="A222" s="556"/>
      <c r="B222" s="130"/>
      <c r="C222" s="205"/>
      <c r="D222" s="205"/>
      <c r="E222" s="278"/>
      <c r="F222" s="278"/>
      <c r="G222" s="278"/>
      <c r="H222" s="278" t="s">
        <v>5</v>
      </c>
      <c r="I222" s="278" t="s">
        <v>16</v>
      </c>
      <c r="J222" s="205">
        <v>4.0000000000000001E-10</v>
      </c>
      <c r="K222" s="130" t="s">
        <v>22</v>
      </c>
      <c r="L222" s="278" t="s">
        <v>1004</v>
      </c>
      <c r="M222" s="130"/>
    </row>
    <row r="223" spans="1:13" ht="43.2" x14ac:dyDescent="0.3">
      <c r="A223" s="552" t="s">
        <v>240</v>
      </c>
      <c r="B223" s="65" t="s">
        <v>209</v>
      </c>
      <c r="C223" s="100">
        <v>1</v>
      </c>
      <c r="D223" s="51"/>
      <c r="E223" s="93" t="s">
        <v>3</v>
      </c>
      <c r="F223" s="50" t="s">
        <v>601</v>
      </c>
      <c r="G223" s="50"/>
      <c r="H223" s="321" t="s">
        <v>7</v>
      </c>
      <c r="I223" s="50" t="s">
        <v>763</v>
      </c>
      <c r="J223" s="137">
        <f t="shared" ref="J223:J229" si="8">C223</f>
        <v>1</v>
      </c>
      <c r="K223" s="66" t="s">
        <v>3</v>
      </c>
      <c r="L223" s="50"/>
      <c r="M223" s="42"/>
    </row>
    <row r="224" spans="1:13" ht="43.2" x14ac:dyDescent="0.3">
      <c r="A224" s="553"/>
      <c r="B224" s="37" t="s">
        <v>766</v>
      </c>
      <c r="C224" s="101">
        <v>130</v>
      </c>
      <c r="E224" s="94" t="s">
        <v>3</v>
      </c>
      <c r="F224" s="50" t="s">
        <v>601</v>
      </c>
      <c r="H224" s="39" t="s">
        <v>5</v>
      </c>
      <c r="I224" s="16" t="s">
        <v>236</v>
      </c>
      <c r="J224" s="19">
        <f t="shared" si="8"/>
        <v>130</v>
      </c>
      <c r="K224" s="38" t="s">
        <v>3</v>
      </c>
      <c r="L224" s="13"/>
    </row>
    <row r="225" spans="1:13" ht="43.2" x14ac:dyDescent="0.3">
      <c r="A225" s="553"/>
      <c r="B225" s="37" t="s">
        <v>208</v>
      </c>
      <c r="C225" s="101">
        <v>2</v>
      </c>
      <c r="E225" s="94" t="s">
        <v>3</v>
      </c>
      <c r="F225" s="50" t="s">
        <v>601</v>
      </c>
      <c r="H225" s="39" t="s">
        <v>244</v>
      </c>
      <c r="I225" s="16" t="s">
        <v>243</v>
      </c>
      <c r="J225" s="19">
        <f t="shared" si="8"/>
        <v>2</v>
      </c>
      <c r="K225" s="38" t="s">
        <v>3</v>
      </c>
    </row>
    <row r="226" spans="1:13" ht="43.2" x14ac:dyDescent="0.3">
      <c r="A226" s="553"/>
      <c r="B226" s="37" t="s">
        <v>206</v>
      </c>
      <c r="C226" s="101">
        <v>2.6</v>
      </c>
      <c r="E226" s="94" t="s">
        <v>3</v>
      </c>
      <c r="F226" s="50" t="s">
        <v>601</v>
      </c>
      <c r="H226" s="335" t="s">
        <v>5</v>
      </c>
      <c r="I226" s="39" t="s">
        <v>369</v>
      </c>
      <c r="J226" s="19">
        <f t="shared" si="8"/>
        <v>2.6</v>
      </c>
      <c r="K226" s="38" t="s">
        <v>3</v>
      </c>
      <c r="L226" s="419"/>
    </row>
    <row r="227" spans="1:13" ht="43.2" x14ac:dyDescent="0.3">
      <c r="A227" s="553"/>
      <c r="B227" s="37" t="s">
        <v>228</v>
      </c>
      <c r="C227" s="101">
        <v>0.95</v>
      </c>
      <c r="E227" s="94" t="s">
        <v>3</v>
      </c>
      <c r="F227" s="50" t="s">
        <v>601</v>
      </c>
      <c r="H227" s="39" t="s">
        <v>5</v>
      </c>
      <c r="I227" s="16" t="s">
        <v>367</v>
      </c>
      <c r="J227" s="19">
        <f t="shared" si="8"/>
        <v>0.95</v>
      </c>
      <c r="K227" s="38" t="s">
        <v>3</v>
      </c>
    </row>
    <row r="228" spans="1:13" ht="43.2" x14ac:dyDescent="0.3">
      <c r="A228" s="553"/>
      <c r="B228" s="37" t="s">
        <v>223</v>
      </c>
      <c r="C228" s="101">
        <v>0.11</v>
      </c>
      <c r="E228" s="94" t="s">
        <v>3</v>
      </c>
      <c r="F228" s="50" t="s">
        <v>601</v>
      </c>
      <c r="H228" s="39" t="s">
        <v>5</v>
      </c>
      <c r="I228" s="16" t="s">
        <v>15</v>
      </c>
      <c r="J228" s="19">
        <f t="shared" si="8"/>
        <v>0.11</v>
      </c>
      <c r="K228" s="38" t="s">
        <v>3</v>
      </c>
    </row>
    <row r="229" spans="1:13" ht="43.2" x14ac:dyDescent="0.3">
      <c r="A229" s="553"/>
      <c r="B229" s="37" t="s">
        <v>229</v>
      </c>
      <c r="C229" s="101">
        <v>0.75</v>
      </c>
      <c r="E229" s="94" t="s">
        <v>3</v>
      </c>
      <c r="F229" s="50" t="s">
        <v>601</v>
      </c>
      <c r="H229" s="39" t="s">
        <v>5</v>
      </c>
      <c r="I229" s="15" t="s">
        <v>237</v>
      </c>
      <c r="J229" s="19">
        <f t="shared" si="8"/>
        <v>0.75</v>
      </c>
      <c r="K229" s="38" t="s">
        <v>3</v>
      </c>
    </row>
    <row r="230" spans="1:13" ht="43.2" x14ac:dyDescent="0.3">
      <c r="A230" s="553"/>
      <c r="B230" s="37" t="s">
        <v>204</v>
      </c>
      <c r="C230" s="101">
        <v>6.6</v>
      </c>
      <c r="E230" s="94" t="s">
        <v>3</v>
      </c>
      <c r="F230" s="50" t="s">
        <v>601</v>
      </c>
      <c r="H230" s="25" t="s">
        <v>36</v>
      </c>
      <c r="I230" s="16" t="s">
        <v>438</v>
      </c>
      <c r="J230" s="19">
        <f>C230*0.001</f>
        <v>6.6E-3</v>
      </c>
      <c r="K230" s="38" t="s">
        <v>55</v>
      </c>
      <c r="L230" s="16" t="s">
        <v>439</v>
      </c>
    </row>
    <row r="231" spans="1:13" ht="43.2" x14ac:dyDescent="0.3">
      <c r="A231" s="553"/>
      <c r="B231" s="336" t="s">
        <v>202</v>
      </c>
      <c r="C231" s="337">
        <v>20</v>
      </c>
      <c r="D231" s="147"/>
      <c r="E231" s="338" t="s">
        <v>21</v>
      </c>
      <c r="F231" s="50" t="s">
        <v>601</v>
      </c>
      <c r="G231" s="72"/>
      <c r="H231" s="329" t="s">
        <v>5</v>
      </c>
      <c r="I231" s="72" t="s">
        <v>602</v>
      </c>
      <c r="J231" s="136">
        <f>C231*MJ_to_kWh</f>
        <v>5.5555600000000007</v>
      </c>
      <c r="K231" s="339" t="s">
        <v>4</v>
      </c>
      <c r="L231" s="72" t="s">
        <v>231</v>
      </c>
      <c r="M231" s="71"/>
    </row>
    <row r="232" spans="1:13" ht="43.2" x14ac:dyDescent="0.3">
      <c r="A232" s="558"/>
      <c r="B232" s="126" t="s">
        <v>227</v>
      </c>
      <c r="C232" s="127">
        <v>1.7999999999999999E-2</v>
      </c>
      <c r="D232" s="148"/>
      <c r="E232" s="128" t="s">
        <v>3</v>
      </c>
      <c r="F232" s="54" t="s">
        <v>601</v>
      </c>
      <c r="G232" s="89"/>
      <c r="H232" s="533" t="s">
        <v>6</v>
      </c>
      <c r="I232" s="89" t="s">
        <v>238</v>
      </c>
      <c r="J232" s="266">
        <f>C232</f>
        <v>1.7999999999999999E-2</v>
      </c>
      <c r="K232" s="129" t="s">
        <v>3</v>
      </c>
      <c r="L232" s="89"/>
      <c r="M232" s="73"/>
    </row>
    <row r="233" spans="1:13" ht="43.5" customHeight="1" x14ac:dyDescent="0.3">
      <c r="A233" s="550" t="s">
        <v>239</v>
      </c>
      <c r="B233" s="122" t="s">
        <v>207</v>
      </c>
      <c r="C233" s="102">
        <v>1</v>
      </c>
      <c r="D233" s="51"/>
      <c r="E233" s="95" t="s">
        <v>3</v>
      </c>
      <c r="F233" s="50" t="s">
        <v>601</v>
      </c>
      <c r="G233" s="50"/>
      <c r="H233" s="321" t="s">
        <v>7</v>
      </c>
      <c r="I233" s="50" t="s">
        <v>236</v>
      </c>
      <c r="J233" s="226">
        <f>C233</f>
        <v>1</v>
      </c>
      <c r="K233" s="42" t="s">
        <v>3</v>
      </c>
      <c r="L233" s="61" t="s">
        <v>437</v>
      </c>
      <c r="M233" s="42"/>
    </row>
    <row r="234" spans="1:13" ht="43.2" x14ac:dyDescent="0.3">
      <c r="A234" s="550"/>
      <c r="B234" s="123" t="s">
        <v>212</v>
      </c>
      <c r="C234" s="103">
        <v>4.7000000000000002E-3</v>
      </c>
      <c r="E234" s="96" t="s">
        <v>3</v>
      </c>
      <c r="F234" s="50" t="s">
        <v>601</v>
      </c>
      <c r="H234" s="39" t="s">
        <v>210</v>
      </c>
      <c r="I234" s="16" t="s">
        <v>523</v>
      </c>
      <c r="J234" s="32">
        <f>C234</f>
        <v>4.7000000000000002E-3</v>
      </c>
      <c r="K234" s="15" t="s">
        <v>3</v>
      </c>
    </row>
    <row r="235" spans="1:13" ht="43.2" x14ac:dyDescent="0.3">
      <c r="A235" s="550"/>
      <c r="B235" s="124" t="s">
        <v>211</v>
      </c>
      <c r="C235" s="103">
        <v>7.1999999999999998E-3</v>
      </c>
      <c r="E235" s="96" t="s">
        <v>3</v>
      </c>
      <c r="F235" s="50" t="s">
        <v>601</v>
      </c>
      <c r="H235" s="25" t="s">
        <v>36</v>
      </c>
      <c r="I235" s="25" t="s">
        <v>378</v>
      </c>
      <c r="J235" s="32">
        <f>C235*0.001</f>
        <v>7.1999999999999997E-6</v>
      </c>
      <c r="K235" s="15" t="s">
        <v>55</v>
      </c>
    </row>
    <row r="236" spans="1:13" ht="43.2" x14ac:dyDescent="0.3">
      <c r="A236" s="550"/>
      <c r="B236" s="124" t="s">
        <v>213</v>
      </c>
      <c r="C236" s="340">
        <v>0.35</v>
      </c>
      <c r="E236" s="96" t="s">
        <v>21</v>
      </c>
      <c r="F236" s="50" t="s">
        <v>601</v>
      </c>
      <c r="H236" s="39" t="s">
        <v>5</v>
      </c>
      <c r="I236" s="16" t="s">
        <v>184</v>
      </c>
      <c r="J236" s="32">
        <f>C236</f>
        <v>0.35</v>
      </c>
      <c r="K236" s="15" t="s">
        <v>21</v>
      </c>
    </row>
    <row r="237" spans="1:13" ht="43.2" x14ac:dyDescent="0.3">
      <c r="A237" s="550"/>
      <c r="B237" s="341" t="s">
        <v>214</v>
      </c>
      <c r="C237" s="342">
        <v>8.5999999999999998E-4</v>
      </c>
      <c r="D237" s="147"/>
      <c r="E237" s="343" t="s">
        <v>3</v>
      </c>
      <c r="F237" s="50" t="s">
        <v>601</v>
      </c>
      <c r="G237" s="72"/>
      <c r="H237" s="329" t="s">
        <v>6</v>
      </c>
      <c r="I237" s="72" t="s">
        <v>264</v>
      </c>
      <c r="J237" s="199">
        <f>0.000089</f>
        <v>8.8999999999999995E-5</v>
      </c>
      <c r="K237" s="71" t="s">
        <v>3</v>
      </c>
      <c r="L237" s="72" t="s">
        <v>379</v>
      </c>
      <c r="M237" s="71"/>
    </row>
    <row r="238" spans="1:13" ht="43.2" x14ac:dyDescent="0.3">
      <c r="A238" s="550"/>
      <c r="B238" s="330" t="s">
        <v>215</v>
      </c>
      <c r="C238" s="344">
        <v>8.8999999999999995E-5</v>
      </c>
      <c r="D238" s="218"/>
      <c r="E238" s="345" t="s">
        <v>3</v>
      </c>
      <c r="F238" s="50" t="s">
        <v>601</v>
      </c>
      <c r="G238" s="5"/>
      <c r="H238" s="334" t="s">
        <v>6</v>
      </c>
      <c r="I238" s="202" t="s">
        <v>191</v>
      </c>
      <c r="J238" s="199">
        <f>C237</f>
        <v>8.5999999999999998E-4</v>
      </c>
      <c r="K238" s="11" t="s">
        <v>3</v>
      </c>
      <c r="L238" s="5" t="s">
        <v>380</v>
      </c>
      <c r="M238" s="11"/>
    </row>
    <row r="239" spans="1:13" ht="87" customHeight="1" x14ac:dyDescent="0.3">
      <c r="A239" s="552" t="s">
        <v>767</v>
      </c>
      <c r="B239" s="67" t="s">
        <v>241</v>
      </c>
      <c r="C239" s="149">
        <v>1</v>
      </c>
      <c r="D239" s="149"/>
      <c r="E239" s="68" t="s">
        <v>3</v>
      </c>
      <c r="F239" s="68"/>
      <c r="G239" s="68" t="s">
        <v>309</v>
      </c>
      <c r="H239" s="68" t="s">
        <v>155</v>
      </c>
      <c r="I239" s="50" t="s">
        <v>765</v>
      </c>
      <c r="J239" s="149">
        <f>C239</f>
        <v>1</v>
      </c>
      <c r="K239" s="67" t="s">
        <v>3</v>
      </c>
      <c r="L239" s="68" t="s">
        <v>911</v>
      </c>
      <c r="M239" s="67"/>
    </row>
    <row r="240" spans="1:13" ht="28.8" x14ac:dyDescent="0.3">
      <c r="A240" s="553"/>
      <c r="H240" s="25" t="s">
        <v>5</v>
      </c>
      <c r="I240" s="25" t="s">
        <v>246</v>
      </c>
      <c r="J240" s="171">
        <f>(2*64.04)*(1/process_efficiency)*1/190.05</f>
        <v>0.70939780390202034</v>
      </c>
      <c r="K240" s="15" t="s">
        <v>3</v>
      </c>
      <c r="L240" s="25" t="s">
        <v>430</v>
      </c>
    </row>
    <row r="241" spans="1:13" ht="28.8" x14ac:dyDescent="0.3">
      <c r="A241" s="553"/>
      <c r="H241" s="16" t="s">
        <v>5</v>
      </c>
      <c r="I241" s="16" t="s">
        <v>15</v>
      </c>
      <c r="J241" s="171">
        <f>2*39.99*(1/process_efficiency)*1/190.05</f>
        <v>0.44298591783325714</v>
      </c>
      <c r="K241" s="15" t="s">
        <v>3</v>
      </c>
      <c r="L241" s="25" t="s">
        <v>429</v>
      </c>
    </row>
    <row r="242" spans="1:13" ht="90" x14ac:dyDescent="0.35">
      <c r="A242" s="553"/>
      <c r="H242" s="16" t="s">
        <v>5</v>
      </c>
      <c r="I242" s="16" t="s">
        <v>159</v>
      </c>
      <c r="J242" s="34">
        <v>2.6000000000000002E-2</v>
      </c>
      <c r="K242" s="15" t="s">
        <v>3</v>
      </c>
      <c r="L242" s="416" t="s">
        <v>168</v>
      </c>
    </row>
    <row r="243" spans="1:13" ht="120" x14ac:dyDescent="0.3">
      <c r="A243" s="553"/>
      <c r="H243" s="16" t="s">
        <v>5</v>
      </c>
      <c r="I243" s="16" t="s">
        <v>16</v>
      </c>
      <c r="J243" s="34">
        <v>4.0000000000000001E-10</v>
      </c>
      <c r="K243" s="15" t="s">
        <v>22</v>
      </c>
      <c r="L243" s="315" t="s">
        <v>180</v>
      </c>
    </row>
    <row r="244" spans="1:13" ht="165" x14ac:dyDescent="0.35">
      <c r="A244" s="553"/>
      <c r="H244" s="16" t="s">
        <v>5</v>
      </c>
      <c r="I244" s="16" t="s">
        <v>19</v>
      </c>
      <c r="J244" s="34">
        <v>0.41599999999999998</v>
      </c>
      <c r="K244" s="15" t="s">
        <v>4</v>
      </c>
      <c r="L244" s="416" t="s">
        <v>166</v>
      </c>
    </row>
    <row r="245" spans="1:13" ht="165" x14ac:dyDescent="0.35">
      <c r="A245" s="553"/>
      <c r="H245" s="16" t="s">
        <v>5</v>
      </c>
      <c r="I245" s="16" t="s">
        <v>20</v>
      </c>
      <c r="J245" s="34">
        <v>2.3499999999999996</v>
      </c>
      <c r="K245" s="15" t="s">
        <v>21</v>
      </c>
      <c r="L245" s="416" t="s">
        <v>167</v>
      </c>
    </row>
    <row r="246" spans="1:13" ht="120" x14ac:dyDescent="0.35">
      <c r="A246" s="553"/>
      <c r="H246" s="16" t="s">
        <v>5</v>
      </c>
      <c r="I246" s="16" t="s">
        <v>157</v>
      </c>
      <c r="J246" s="34">
        <v>1.9E-2</v>
      </c>
      <c r="K246" s="15" t="s">
        <v>3</v>
      </c>
      <c r="L246" s="416" t="s">
        <v>169</v>
      </c>
    </row>
    <row r="247" spans="1:13" ht="75" x14ac:dyDescent="0.35">
      <c r="A247" s="553"/>
      <c r="H247" s="16" t="s">
        <v>36</v>
      </c>
      <c r="I247" s="16" t="s">
        <v>161</v>
      </c>
      <c r="J247" s="34">
        <v>1.6399999999999998E-2</v>
      </c>
      <c r="K247" s="15" t="s">
        <v>55</v>
      </c>
      <c r="L247" s="416" t="s">
        <v>170</v>
      </c>
    </row>
    <row r="248" spans="1:13" ht="90" x14ac:dyDescent="0.35">
      <c r="A248" s="553"/>
      <c r="H248" s="16" t="s">
        <v>36</v>
      </c>
      <c r="I248" s="16" t="s">
        <v>162</v>
      </c>
      <c r="J248" s="34">
        <v>8.5999999999999998E-4</v>
      </c>
      <c r="K248" s="15" t="s">
        <v>55</v>
      </c>
      <c r="L248" s="416" t="s">
        <v>171</v>
      </c>
    </row>
    <row r="249" spans="1:13" ht="90" x14ac:dyDescent="0.35">
      <c r="A249" s="553"/>
      <c r="H249" s="16" t="s">
        <v>36</v>
      </c>
      <c r="I249" s="16" t="s">
        <v>160</v>
      </c>
      <c r="J249" s="34">
        <v>8.3000000000000001E-4</v>
      </c>
      <c r="K249" s="15" t="s">
        <v>55</v>
      </c>
      <c r="L249" s="416" t="s">
        <v>171</v>
      </c>
    </row>
    <row r="250" spans="1:13" ht="28.8" x14ac:dyDescent="0.3">
      <c r="A250" s="553"/>
      <c r="H250" s="16" t="s">
        <v>6</v>
      </c>
      <c r="I250" s="25" t="s">
        <v>245</v>
      </c>
      <c r="J250" s="256">
        <f>SO2_liquid*0.002</f>
        <v>1.4187956078040406E-3</v>
      </c>
      <c r="L250" s="25" t="s">
        <v>249</v>
      </c>
    </row>
    <row r="251" spans="1:13" ht="57.6" x14ac:dyDescent="0.3">
      <c r="A251" s="553"/>
      <c r="H251" s="16" t="s">
        <v>6</v>
      </c>
      <c r="I251" s="25" t="s">
        <v>267</v>
      </c>
      <c r="J251" s="256">
        <f>(((1/process_efficiency-1)*SO2_liquid)-SO2_air)*(80.03/64.04)*0.1</f>
        <v>4.4886196299122284E-3</v>
      </c>
      <c r="L251" s="25" t="s">
        <v>899</v>
      </c>
    </row>
    <row r="252" spans="1:13" ht="57.6" x14ac:dyDescent="0.3">
      <c r="A252" s="553"/>
      <c r="H252" s="16" t="s">
        <v>6</v>
      </c>
      <c r="I252" s="28" t="s">
        <v>248</v>
      </c>
      <c r="J252" s="32">
        <f>(((1/process_efficiency-1)*NaOH_in_sodium_metabisulfite)*(22.99/39.99)*0.1)</f>
        <v>1.3403674933189309E-3</v>
      </c>
      <c r="L252" s="25" t="s">
        <v>900</v>
      </c>
    </row>
    <row r="253" spans="1:13" ht="15" x14ac:dyDescent="0.3">
      <c r="A253" s="553"/>
      <c r="H253" s="16" t="s">
        <v>164</v>
      </c>
      <c r="I253" s="16" t="s">
        <v>163</v>
      </c>
      <c r="J253" s="34">
        <v>1.9E-2</v>
      </c>
      <c r="K253" s="15" t="s">
        <v>3</v>
      </c>
      <c r="L253" s="315" t="s">
        <v>181</v>
      </c>
    </row>
    <row r="254" spans="1:13" ht="75" x14ac:dyDescent="0.35">
      <c r="A254" s="553"/>
      <c r="G254" s="15"/>
      <c r="H254" s="16" t="s">
        <v>164</v>
      </c>
      <c r="I254" s="16" t="s">
        <v>32</v>
      </c>
      <c r="J254" s="34">
        <v>1.4E-3</v>
      </c>
      <c r="K254" s="15" t="s">
        <v>55</v>
      </c>
      <c r="L254" s="416" t="s">
        <v>172</v>
      </c>
    </row>
    <row r="255" spans="1:13" ht="45" x14ac:dyDescent="0.35">
      <c r="A255" s="553"/>
      <c r="H255" s="16" t="s">
        <v>165</v>
      </c>
      <c r="I255" s="16" t="s">
        <v>32</v>
      </c>
      <c r="J255" s="34">
        <v>1.67E-2</v>
      </c>
      <c r="K255" s="15" t="s">
        <v>55</v>
      </c>
      <c r="L255" s="416" t="s">
        <v>173</v>
      </c>
    </row>
    <row r="256" spans="1:13" ht="90" x14ac:dyDescent="0.35">
      <c r="A256" s="558"/>
      <c r="B256" s="55"/>
      <c r="C256" s="88"/>
      <c r="D256" s="88"/>
      <c r="E256" s="54"/>
      <c r="F256" s="54"/>
      <c r="G256" s="54"/>
      <c r="H256" s="54" t="s">
        <v>307</v>
      </c>
      <c r="I256" s="54" t="s">
        <v>54</v>
      </c>
      <c r="J256" s="134">
        <v>2.7E-6</v>
      </c>
      <c r="K256" s="55" t="s">
        <v>55</v>
      </c>
      <c r="L256" s="420" t="s">
        <v>182</v>
      </c>
      <c r="M256" s="55"/>
    </row>
    <row r="257" spans="8:8" x14ac:dyDescent="0.3">
      <c r="H257" s="50"/>
    </row>
  </sheetData>
  <autoFilter ref="A3:AS256" xr:uid="{00000000-0009-0000-0000-000001000000}"/>
  <mergeCells count="28">
    <mergeCell ref="G82:G83"/>
    <mergeCell ref="G84:G85"/>
    <mergeCell ref="A196:A208"/>
    <mergeCell ref="L53:L54"/>
    <mergeCell ref="A100:A106"/>
    <mergeCell ref="A131:A143"/>
    <mergeCell ref="A161:A172"/>
    <mergeCell ref="A239:A256"/>
    <mergeCell ref="A233:A238"/>
    <mergeCell ref="L127:L130"/>
    <mergeCell ref="G145:G147"/>
    <mergeCell ref="G174:G176"/>
    <mergeCell ref="A189:A195"/>
    <mergeCell ref="A144:A153"/>
    <mergeCell ref="A223:A232"/>
    <mergeCell ref="A173:A181"/>
    <mergeCell ref="A182:A188"/>
    <mergeCell ref="A209:A222"/>
    <mergeCell ref="L168:L172"/>
    <mergeCell ref="A4:A23"/>
    <mergeCell ref="A79:A99"/>
    <mergeCell ref="A66:A77"/>
    <mergeCell ref="A154:A160"/>
    <mergeCell ref="A24:A30"/>
    <mergeCell ref="A107:A126"/>
    <mergeCell ref="A32:A44"/>
    <mergeCell ref="A45:A60"/>
    <mergeCell ref="A61:A65"/>
  </mergeCells>
  <hyperlinks>
    <hyperlink ref="L8"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59999389629810485"/>
  </sheetPr>
  <dimension ref="A1:M258"/>
  <sheetViews>
    <sheetView zoomScale="70" zoomScaleNormal="70" workbookViewId="0">
      <pane xSplit="2" ySplit="3" topLeftCell="C4" activePane="bottomRight" state="frozen"/>
      <selection pane="topRight" activeCell="C1" sqref="C1"/>
      <selection pane="bottomLeft" activeCell="A4" sqref="A4"/>
      <selection pane="bottomRight"/>
    </sheetView>
  </sheetViews>
  <sheetFormatPr defaultRowHeight="14.4" x14ac:dyDescent="0.3"/>
  <cols>
    <col min="1" max="1" width="17.5546875" style="16" customWidth="1"/>
    <col min="2" max="2" width="39.5546875" style="15" customWidth="1"/>
    <col min="3" max="3" width="11.77734375" style="34" customWidth="1"/>
    <col min="4" max="4" width="7.21875" style="34" customWidth="1"/>
    <col min="5" max="5" width="7.21875" style="16" customWidth="1"/>
    <col min="6" max="6" width="21.21875" style="16" customWidth="1"/>
    <col min="7" max="7" width="54.21875" style="16" customWidth="1"/>
    <col min="8" max="8" width="24.77734375" style="16" bestFit="1" customWidth="1"/>
    <col min="9" max="9" width="39.21875" style="16" bestFit="1" customWidth="1"/>
    <col min="10" max="10" width="12.109375" style="34" customWidth="1"/>
    <col min="11" max="11" width="11" style="15" customWidth="1"/>
    <col min="12" max="12" width="143.21875" style="16" customWidth="1"/>
    <col min="13" max="13" width="25.6640625" customWidth="1"/>
    <col min="14" max="14" width="29.21875" customWidth="1"/>
    <col min="15" max="15" width="12.33203125" customWidth="1"/>
    <col min="16" max="16" width="11.21875" customWidth="1"/>
    <col min="17" max="17" width="12.44140625" bestFit="1" customWidth="1"/>
  </cols>
  <sheetData>
    <row r="1" spans="1:12" ht="15.6" x14ac:dyDescent="0.3">
      <c r="A1" s="296" t="s">
        <v>769</v>
      </c>
      <c r="B1" s="72"/>
      <c r="G1"/>
      <c r="H1"/>
      <c r="I1"/>
      <c r="J1" s="466"/>
      <c r="K1"/>
      <c r="L1" s="13"/>
    </row>
    <row r="2" spans="1:12" x14ac:dyDescent="0.3">
      <c r="B2" s="50"/>
      <c r="G2"/>
      <c r="H2"/>
      <c r="I2"/>
      <c r="J2"/>
      <c r="K2"/>
      <c r="L2" s="13"/>
    </row>
    <row r="3" spans="1:12" ht="28.8" x14ac:dyDescent="0.3">
      <c r="A3" s="187" t="s">
        <v>732</v>
      </c>
      <c r="B3" s="44" t="s">
        <v>59</v>
      </c>
      <c r="C3" s="45" t="s">
        <v>263</v>
      </c>
      <c r="D3" s="45" t="s">
        <v>82</v>
      </c>
      <c r="E3" s="45" t="s">
        <v>60</v>
      </c>
      <c r="F3" s="45" t="s">
        <v>107</v>
      </c>
      <c r="G3" s="45" t="s">
        <v>772</v>
      </c>
      <c r="H3" s="47" t="s">
        <v>733</v>
      </c>
      <c r="I3" s="47" t="s">
        <v>730</v>
      </c>
      <c r="J3" s="47" t="s">
        <v>1</v>
      </c>
      <c r="K3" s="48" t="s">
        <v>62</v>
      </c>
      <c r="L3" s="48" t="s">
        <v>255</v>
      </c>
    </row>
    <row r="4" spans="1:12" ht="28.8" x14ac:dyDescent="0.3">
      <c r="A4" s="552" t="s">
        <v>538</v>
      </c>
      <c r="B4" s="42" t="s">
        <v>68</v>
      </c>
      <c r="C4" s="347"/>
      <c r="D4" s="346">
        <v>1</v>
      </c>
      <c r="E4" s="297"/>
      <c r="F4" s="295" t="s">
        <v>553</v>
      </c>
      <c r="G4" s="40"/>
      <c r="H4" s="40"/>
      <c r="I4" s="50" t="s">
        <v>933</v>
      </c>
      <c r="J4" s="407">
        <v>1</v>
      </c>
      <c r="K4" s="298" t="s">
        <v>3</v>
      </c>
      <c r="L4" s="414"/>
    </row>
    <row r="5" spans="1:12" ht="28.8" x14ac:dyDescent="0.3">
      <c r="A5" s="553"/>
      <c r="B5" s="18" t="s">
        <v>74</v>
      </c>
      <c r="C5" s="90"/>
      <c r="D5" s="90">
        <v>0.14161499288075893</v>
      </c>
      <c r="F5" s="295" t="s">
        <v>553</v>
      </c>
      <c r="H5" s="16" t="s">
        <v>5</v>
      </c>
      <c r="I5" s="131" t="s">
        <v>12</v>
      </c>
      <c r="J5" s="19">
        <f>D5</f>
        <v>0.14161499288075893</v>
      </c>
      <c r="K5" s="15" t="s">
        <v>3</v>
      </c>
      <c r="L5" s="16" t="s">
        <v>370</v>
      </c>
    </row>
    <row r="6" spans="1:12" ht="127.95" customHeight="1" x14ac:dyDescent="0.3">
      <c r="A6" s="553"/>
      <c r="B6" s="18"/>
      <c r="C6" s="90"/>
      <c r="D6" s="90"/>
      <c r="F6" s="17"/>
      <c r="H6" s="16" t="s">
        <v>5</v>
      </c>
      <c r="I6" s="5" t="s">
        <v>515</v>
      </c>
      <c r="J6" s="19">
        <f>J5</f>
        <v>0.14161499288075893</v>
      </c>
      <c r="K6" s="15" t="s">
        <v>3</v>
      </c>
      <c r="L6" s="72" t="s">
        <v>934</v>
      </c>
    </row>
    <row r="7" spans="1:12" ht="28.8" x14ac:dyDescent="0.3">
      <c r="A7" s="553"/>
      <c r="B7" s="18" t="s">
        <v>75</v>
      </c>
      <c r="C7" s="90"/>
      <c r="D7" s="90">
        <v>4.050212722032316E-3</v>
      </c>
      <c r="F7" s="295" t="s">
        <v>553</v>
      </c>
      <c r="G7"/>
      <c r="H7" s="16" t="s">
        <v>5</v>
      </c>
      <c r="I7" t="s">
        <v>336</v>
      </c>
      <c r="J7" s="19">
        <f t="shared" ref="J7:J21" si="0">D7</f>
        <v>4.050212722032316E-3</v>
      </c>
      <c r="K7" s="15" t="s">
        <v>3</v>
      </c>
    </row>
    <row r="8" spans="1:12" x14ac:dyDescent="0.3">
      <c r="A8" s="553"/>
      <c r="B8" s="18"/>
      <c r="C8" s="90"/>
      <c r="D8" s="90"/>
      <c r="F8" s="17"/>
      <c r="H8" s="16" t="s">
        <v>5</v>
      </c>
      <c r="I8" s="16" t="s">
        <v>329</v>
      </c>
      <c r="J8" s="19">
        <f>J7</f>
        <v>4.050212722032316E-3</v>
      </c>
      <c r="K8" s="15" t="s">
        <v>3</v>
      </c>
      <c r="L8" s="415" t="s">
        <v>335</v>
      </c>
    </row>
    <row r="9" spans="1:12" ht="28.8" x14ac:dyDescent="0.3">
      <c r="A9" s="553"/>
      <c r="B9" s="18" t="s">
        <v>76</v>
      </c>
      <c r="C9" s="90"/>
      <c r="D9" s="90">
        <v>1.0006868793571203E-3</v>
      </c>
      <c r="F9" s="295" t="s">
        <v>553</v>
      </c>
      <c r="G9" s="139"/>
      <c r="H9" s="16" t="s">
        <v>5</v>
      </c>
      <c r="I9" s="139" t="s">
        <v>53</v>
      </c>
      <c r="J9" s="136">
        <f>D9</f>
        <v>1.0006868793571203E-3</v>
      </c>
      <c r="K9" s="15" t="s">
        <v>3</v>
      </c>
    </row>
    <row r="10" spans="1:12" ht="14.55" customHeight="1" x14ac:dyDescent="0.3">
      <c r="A10" s="553"/>
      <c r="B10" s="18"/>
      <c r="C10" s="90"/>
      <c r="D10" s="90"/>
      <c r="F10" s="17"/>
      <c r="G10" s="140"/>
      <c r="H10" s="16" t="s">
        <v>5</v>
      </c>
      <c r="I10" s="140" t="s">
        <v>14</v>
      </c>
      <c r="J10" s="141">
        <f>J9</f>
        <v>1.0006868793571203E-3</v>
      </c>
      <c r="K10" s="15" t="s">
        <v>3</v>
      </c>
      <c r="L10" s="16" t="s">
        <v>497</v>
      </c>
    </row>
    <row r="11" spans="1:12" ht="28.8" x14ac:dyDescent="0.3">
      <c r="A11" s="553"/>
      <c r="B11" s="18" t="s">
        <v>341</v>
      </c>
      <c r="C11" s="90"/>
      <c r="D11" s="90">
        <v>3.3356229311904008E-4</v>
      </c>
      <c r="F11" s="295" t="s">
        <v>553</v>
      </c>
      <c r="G11" s="61"/>
      <c r="H11" s="16" t="s">
        <v>5</v>
      </c>
      <c r="I11" s="61" t="s">
        <v>495</v>
      </c>
      <c r="J11" s="137">
        <f>D11</f>
        <v>3.3356229311904008E-4</v>
      </c>
      <c r="K11" s="15" t="s">
        <v>3</v>
      </c>
      <c r="L11" s="25" t="s">
        <v>496</v>
      </c>
    </row>
    <row r="12" spans="1:12" ht="28.8" x14ac:dyDescent="0.3">
      <c r="A12" s="553"/>
      <c r="B12" s="18" t="s">
        <v>63</v>
      </c>
      <c r="C12" s="90"/>
      <c r="D12" s="90">
        <v>6.4168300946418361E-3</v>
      </c>
      <c r="F12" s="295" t="s">
        <v>553</v>
      </c>
      <c r="G12" s="16" t="s">
        <v>108</v>
      </c>
      <c r="H12" s="16" t="s">
        <v>5</v>
      </c>
      <c r="I12" s="200" t="s">
        <v>147</v>
      </c>
      <c r="J12" s="19">
        <f>D12</f>
        <v>6.4168300946418361E-3</v>
      </c>
      <c r="K12" s="15" t="s">
        <v>3</v>
      </c>
    </row>
    <row r="13" spans="1:12" x14ac:dyDescent="0.3">
      <c r="A13" s="553"/>
      <c r="B13" s="18"/>
      <c r="C13" s="90"/>
      <c r="D13" s="90"/>
      <c r="F13" s="17"/>
      <c r="H13" s="16" t="s">
        <v>5</v>
      </c>
      <c r="I13" s="16" t="s">
        <v>31</v>
      </c>
      <c r="J13" s="19">
        <f>J12</f>
        <v>6.4168300946418361E-3</v>
      </c>
      <c r="K13" s="15" t="s">
        <v>3</v>
      </c>
    </row>
    <row r="14" spans="1:12" ht="28.8" x14ac:dyDescent="0.3">
      <c r="A14" s="553"/>
      <c r="B14" s="18" t="s">
        <v>77</v>
      </c>
      <c r="C14" s="90"/>
      <c r="D14" s="90">
        <v>2.3015798225213765E-2</v>
      </c>
      <c r="F14" s="295" t="s">
        <v>553</v>
      </c>
      <c r="G14" s="561" t="s">
        <v>311</v>
      </c>
      <c r="H14" s="16" t="s">
        <v>5</v>
      </c>
      <c r="I14" s="5" t="s">
        <v>327</v>
      </c>
      <c r="J14" s="19">
        <f t="shared" si="0"/>
        <v>2.3015798225213765E-2</v>
      </c>
      <c r="K14" s="15" t="s">
        <v>3</v>
      </c>
    </row>
    <row r="15" spans="1:12" ht="28.8" x14ac:dyDescent="0.3">
      <c r="A15" s="553"/>
      <c r="B15" s="18" t="s">
        <v>78</v>
      </c>
      <c r="C15" s="90"/>
      <c r="D15" s="90">
        <v>2.3015798225213765E-2</v>
      </c>
      <c r="F15" s="295" t="s">
        <v>553</v>
      </c>
      <c r="G15" s="563"/>
      <c r="H15" s="25" t="s">
        <v>5</v>
      </c>
      <c r="I15" s="16" t="s">
        <v>328</v>
      </c>
      <c r="J15" s="19">
        <f t="shared" si="0"/>
        <v>2.3015798225213765E-2</v>
      </c>
      <c r="K15" s="15" t="s">
        <v>3</v>
      </c>
    </row>
    <row r="16" spans="1:12" ht="28.8" x14ac:dyDescent="0.3">
      <c r="A16" s="553"/>
      <c r="B16" s="18" t="s">
        <v>64</v>
      </c>
      <c r="C16" s="90"/>
      <c r="D16" s="90">
        <v>1.2130273099668105E-3</v>
      </c>
      <c r="F16" s="295" t="s">
        <v>553</v>
      </c>
      <c r="H16" s="16" t="s">
        <v>5</v>
      </c>
      <c r="I16" s="11" t="s">
        <v>12</v>
      </c>
      <c r="J16" s="19">
        <f t="shared" si="0"/>
        <v>1.2130273099668105E-3</v>
      </c>
      <c r="K16" s="15" t="s">
        <v>3</v>
      </c>
      <c r="L16" s="16" t="s">
        <v>340</v>
      </c>
    </row>
    <row r="17" spans="1:12" x14ac:dyDescent="0.3">
      <c r="A17" s="553"/>
      <c r="B17" s="18"/>
      <c r="C17" s="90"/>
      <c r="D17" s="90"/>
      <c r="F17" s="17"/>
      <c r="I17" t="s">
        <v>13</v>
      </c>
      <c r="J17" s="19">
        <f>J16</f>
        <v>1.2130273099668105E-3</v>
      </c>
      <c r="K17" s="15" t="s">
        <v>3</v>
      </c>
      <c r="L17" s="16" t="s">
        <v>371</v>
      </c>
    </row>
    <row r="18" spans="1:12" ht="28.8" x14ac:dyDescent="0.3">
      <c r="A18" s="553"/>
      <c r="B18" s="18" t="s">
        <v>65</v>
      </c>
      <c r="C18" s="90"/>
      <c r="D18" s="90">
        <v>2.4260546199336205E-2</v>
      </c>
      <c r="F18" s="295" t="s">
        <v>553</v>
      </c>
      <c r="H18" s="16" t="s">
        <v>5</v>
      </c>
      <c r="I18" s="16" t="s">
        <v>741</v>
      </c>
      <c r="J18" s="19">
        <f t="shared" si="0"/>
        <v>2.4260546199336205E-2</v>
      </c>
      <c r="K18" s="15" t="s">
        <v>3</v>
      </c>
    </row>
    <row r="19" spans="1:12" ht="28.8" x14ac:dyDescent="0.3">
      <c r="A19" s="553"/>
      <c r="B19" s="18" t="s">
        <v>66</v>
      </c>
      <c r="C19" s="90"/>
      <c r="D19" s="90">
        <v>4.3062469503821763E-3</v>
      </c>
      <c r="F19" s="295" t="s">
        <v>553</v>
      </c>
      <c r="G19" s="25"/>
      <c r="H19" s="16" t="s">
        <v>5</v>
      </c>
      <c r="I19" s="16" t="s">
        <v>337</v>
      </c>
      <c r="J19" s="19">
        <f t="shared" si="0"/>
        <v>4.3062469503821763E-3</v>
      </c>
      <c r="K19" s="15" t="s">
        <v>3</v>
      </c>
    </row>
    <row r="20" spans="1:12" ht="28.8" x14ac:dyDescent="0.3">
      <c r="A20" s="553"/>
      <c r="B20" s="18" t="s">
        <v>506</v>
      </c>
      <c r="C20" s="90"/>
      <c r="D20" s="90">
        <v>5.7179674110669862E-2</v>
      </c>
      <c r="F20" s="295" t="s">
        <v>553</v>
      </c>
      <c r="H20" s="16" t="s">
        <v>5</v>
      </c>
      <c r="I20" s="11" t="s">
        <v>734</v>
      </c>
      <c r="J20" s="19">
        <f t="shared" si="0"/>
        <v>5.7179674110669862E-2</v>
      </c>
      <c r="K20" s="15" t="s">
        <v>3</v>
      </c>
    </row>
    <row r="21" spans="1:12" ht="28.8" x14ac:dyDescent="0.3">
      <c r="A21" s="572"/>
      <c r="B21" s="166" t="s">
        <v>537</v>
      </c>
      <c r="C21" s="348"/>
      <c r="D21" s="90">
        <v>0.71359262410930824</v>
      </c>
      <c r="E21" s="121"/>
      <c r="F21" s="295" t="s">
        <v>553</v>
      </c>
      <c r="G21" s="121"/>
      <c r="I21" s="11" t="s">
        <v>735</v>
      </c>
      <c r="J21" s="141">
        <f t="shared" si="0"/>
        <v>0.71359262410930824</v>
      </c>
      <c r="K21" s="167"/>
      <c r="L21" s="121"/>
    </row>
    <row r="22" spans="1:12" ht="30" x14ac:dyDescent="0.3">
      <c r="A22" s="572"/>
      <c r="B22" s="267"/>
      <c r="C22" s="349"/>
      <c r="D22" s="276"/>
      <c r="E22" s="140"/>
      <c r="F22" s="140"/>
      <c r="G22" s="140"/>
      <c r="H22" s="16" t="s">
        <v>5</v>
      </c>
      <c r="I22" s="140" t="s">
        <v>381</v>
      </c>
      <c r="J22" s="251">
        <f>1/(40000*300/140*157.68*50)</f>
        <v>1.4797902925756807E-9</v>
      </c>
      <c r="K22" s="105" t="s">
        <v>22</v>
      </c>
      <c r="L22" s="231" t="s">
        <v>664</v>
      </c>
    </row>
    <row r="23" spans="1:12" ht="57.6" x14ac:dyDescent="0.3">
      <c r="A23" s="558"/>
      <c r="B23" s="52" t="s">
        <v>67</v>
      </c>
      <c r="C23" s="206">
        <v>1E-3</v>
      </c>
      <c r="D23" s="206" t="s">
        <v>69</v>
      </c>
      <c r="E23" s="207" t="s">
        <v>109</v>
      </c>
      <c r="F23" s="208" t="s">
        <v>257</v>
      </c>
      <c r="G23" s="202" t="s">
        <v>768</v>
      </c>
      <c r="H23" s="202" t="s">
        <v>5</v>
      </c>
      <c r="I23" s="203" t="s">
        <v>298</v>
      </c>
      <c r="J23" s="252">
        <f>C23*MJ_to_kWh</f>
        <v>2.7777800000000001E-4</v>
      </c>
      <c r="K23" s="203" t="s">
        <v>4</v>
      </c>
      <c r="L23" s="202" t="s">
        <v>197</v>
      </c>
    </row>
    <row r="24" spans="1:12" ht="28.8" x14ac:dyDescent="0.3">
      <c r="A24" s="557" t="s">
        <v>918</v>
      </c>
      <c r="B24" s="166" t="s">
        <v>420</v>
      </c>
      <c r="C24" s="218">
        <v>1</v>
      </c>
      <c r="D24" s="11"/>
      <c r="E24" s="11" t="s">
        <v>3</v>
      </c>
      <c r="F24" s="5" t="s">
        <v>478</v>
      </c>
      <c r="G24" s="5"/>
      <c r="H24" s="11"/>
      <c r="I24" s="121" t="s">
        <v>741</v>
      </c>
      <c r="J24" s="218">
        <v>1</v>
      </c>
      <c r="K24" s="121" t="s">
        <v>3</v>
      </c>
      <c r="L24" s="5"/>
    </row>
    <row r="25" spans="1:12" ht="72" x14ac:dyDescent="0.3">
      <c r="A25" s="550"/>
      <c r="B25" s="166" t="s">
        <v>421</v>
      </c>
      <c r="C25" s="218">
        <v>8.8999999999999996E-2</v>
      </c>
      <c r="D25" s="11"/>
      <c r="E25" s="11" t="s">
        <v>3</v>
      </c>
      <c r="F25" s="5" t="s">
        <v>478</v>
      </c>
      <c r="G25" s="11"/>
      <c r="H25" s="5" t="s">
        <v>5</v>
      </c>
      <c r="I25" s="5" t="s">
        <v>435</v>
      </c>
      <c r="J25" s="218">
        <f>C25</f>
        <v>8.8999999999999996E-2</v>
      </c>
      <c r="K25" s="121" t="s">
        <v>3</v>
      </c>
      <c r="L25" s="5" t="s">
        <v>477</v>
      </c>
    </row>
    <row r="26" spans="1:12" ht="28.8" x14ac:dyDescent="0.3">
      <c r="A26" s="550"/>
      <c r="B26" s="166" t="s">
        <v>422</v>
      </c>
      <c r="C26" s="218">
        <v>0.48</v>
      </c>
      <c r="D26" s="11"/>
      <c r="E26" s="11" t="s">
        <v>3</v>
      </c>
      <c r="F26" s="5" t="s">
        <v>478</v>
      </c>
      <c r="G26" s="11"/>
      <c r="H26" s="5" t="s">
        <v>5</v>
      </c>
      <c r="I26" s="5" t="s">
        <v>742</v>
      </c>
      <c r="J26" s="218">
        <f t="shared" ref="J26:J32" si="1">C26</f>
        <v>0.48</v>
      </c>
      <c r="K26" s="121" t="s">
        <v>3</v>
      </c>
      <c r="L26" s="5"/>
    </row>
    <row r="27" spans="1:12" ht="28.8" x14ac:dyDescent="0.3">
      <c r="A27" s="550"/>
      <c r="B27" s="166" t="s">
        <v>423</v>
      </c>
      <c r="C27" s="218">
        <v>3.0000000000000001E-3</v>
      </c>
      <c r="D27" s="11"/>
      <c r="E27" s="11" t="s">
        <v>3</v>
      </c>
      <c r="F27" s="5" t="s">
        <v>478</v>
      </c>
      <c r="G27" s="11"/>
      <c r="H27" s="5" t="s">
        <v>5</v>
      </c>
      <c r="I27" s="5" t="s">
        <v>480</v>
      </c>
      <c r="J27" s="218">
        <f t="shared" si="1"/>
        <v>3.0000000000000001E-3</v>
      </c>
      <c r="K27" s="121" t="s">
        <v>3</v>
      </c>
      <c r="L27" s="5" t="s">
        <v>498</v>
      </c>
    </row>
    <row r="28" spans="1:12" ht="28.8" x14ac:dyDescent="0.3">
      <c r="A28" s="550"/>
      <c r="B28" s="166"/>
      <c r="C28" s="218"/>
      <c r="D28" s="11"/>
      <c r="E28" s="11"/>
      <c r="F28" s="5" t="s">
        <v>478</v>
      </c>
      <c r="G28" s="5"/>
      <c r="H28" s="5" t="s">
        <v>5</v>
      </c>
      <c r="I28" s="5" t="s">
        <v>482</v>
      </c>
      <c r="J28" s="218">
        <f>J27</f>
        <v>3.0000000000000001E-3</v>
      </c>
      <c r="K28" s="121" t="s">
        <v>3</v>
      </c>
      <c r="L28" s="5"/>
    </row>
    <row r="29" spans="1:12" ht="28.8" x14ac:dyDescent="0.3">
      <c r="A29" s="550"/>
      <c r="B29" s="166" t="s">
        <v>424</v>
      </c>
      <c r="C29" s="218">
        <v>0.3</v>
      </c>
      <c r="D29" s="11"/>
      <c r="E29" s="11" t="s">
        <v>3</v>
      </c>
      <c r="F29" s="5" t="s">
        <v>478</v>
      </c>
      <c r="G29" s="11"/>
      <c r="H29" s="5" t="s">
        <v>5</v>
      </c>
      <c r="I29" s="5" t="s">
        <v>444</v>
      </c>
      <c r="J29" s="218">
        <f t="shared" si="1"/>
        <v>0.3</v>
      </c>
      <c r="K29" s="121" t="s">
        <v>3</v>
      </c>
      <c r="L29" s="5"/>
    </row>
    <row r="30" spans="1:12" ht="28.8" x14ac:dyDescent="0.3">
      <c r="A30" s="550"/>
      <c r="B30" s="186" t="s">
        <v>425</v>
      </c>
      <c r="C30" s="218">
        <v>0.13</v>
      </c>
      <c r="D30" s="11"/>
      <c r="E30" s="11" t="s">
        <v>3</v>
      </c>
      <c r="F30" s="5" t="s">
        <v>478</v>
      </c>
      <c r="G30" s="11"/>
      <c r="H30" s="5" t="s">
        <v>5</v>
      </c>
      <c r="I30" s="5" t="s">
        <v>443</v>
      </c>
      <c r="J30" s="218">
        <f t="shared" si="1"/>
        <v>0.13</v>
      </c>
      <c r="K30" s="5" t="s">
        <v>3</v>
      </c>
      <c r="L30" s="5"/>
    </row>
    <row r="31" spans="1:12" x14ac:dyDescent="0.3">
      <c r="A31" s="551"/>
      <c r="B31" s="203"/>
      <c r="C31" s="258"/>
      <c r="D31" s="203"/>
      <c r="E31" s="203"/>
      <c r="F31" s="202"/>
      <c r="G31" s="203"/>
      <c r="H31" s="203"/>
      <c r="I31" s="4" t="s">
        <v>658</v>
      </c>
      <c r="J31" s="236">
        <v>2E-8</v>
      </c>
      <c r="K31" s="4" t="s">
        <v>22</v>
      </c>
      <c r="L31" s="202" t="s">
        <v>662</v>
      </c>
    </row>
    <row r="32" spans="1:12" ht="28.8" x14ac:dyDescent="0.3">
      <c r="A32" s="557" t="s">
        <v>739</v>
      </c>
      <c r="B32" s="11" t="s">
        <v>422</v>
      </c>
      <c r="C32" s="218">
        <v>1</v>
      </c>
      <c r="D32" s="11"/>
      <c r="E32" s="11" t="s">
        <v>3</v>
      </c>
      <c r="F32" s="5" t="s">
        <v>478</v>
      </c>
      <c r="G32" s="5"/>
      <c r="H32" s="5"/>
      <c r="I32" s="5" t="s">
        <v>742</v>
      </c>
      <c r="J32" s="253">
        <f t="shared" si="1"/>
        <v>1</v>
      </c>
      <c r="K32" s="11" t="s">
        <v>3</v>
      </c>
      <c r="L32" s="5"/>
    </row>
    <row r="33" spans="1:12" ht="28.8" x14ac:dyDescent="0.3">
      <c r="A33" s="550"/>
      <c r="B33" s="11" t="s">
        <v>445</v>
      </c>
      <c r="C33" s="10">
        <v>2.0000000000000001E-4</v>
      </c>
      <c r="D33" s="11"/>
      <c r="E33" s="11" t="s">
        <v>3</v>
      </c>
      <c r="F33" s="5" t="s">
        <v>478</v>
      </c>
      <c r="G33" s="11"/>
      <c r="H33" s="11"/>
      <c r="I33" s="5" t="s">
        <v>476</v>
      </c>
      <c r="J33" s="253">
        <f>C33</f>
        <v>2.0000000000000001E-4</v>
      </c>
      <c r="K33" s="11" t="s">
        <v>3</v>
      </c>
      <c r="L33" s="5"/>
    </row>
    <row r="34" spans="1:12" ht="72" x14ac:dyDescent="0.3">
      <c r="A34" s="550"/>
      <c r="B34" s="11" t="s">
        <v>446</v>
      </c>
      <c r="C34" s="10">
        <v>0.11</v>
      </c>
      <c r="D34" s="11"/>
      <c r="E34" s="11" t="s">
        <v>3</v>
      </c>
      <c r="F34" s="5" t="s">
        <v>478</v>
      </c>
      <c r="G34" s="11"/>
      <c r="H34" s="11"/>
      <c r="I34" s="5" t="s">
        <v>435</v>
      </c>
      <c r="J34" s="253">
        <f t="shared" ref="J34:J43" si="2">C34</f>
        <v>0.11</v>
      </c>
      <c r="K34" s="11" t="s">
        <v>3</v>
      </c>
      <c r="L34" s="5" t="s">
        <v>477</v>
      </c>
    </row>
    <row r="35" spans="1:12" ht="28.8" x14ac:dyDescent="0.3">
      <c r="A35" s="550"/>
      <c r="B35" s="11" t="s">
        <v>447</v>
      </c>
      <c r="C35" s="10">
        <v>1.7E-5</v>
      </c>
      <c r="D35" s="11"/>
      <c r="E35" s="11" t="s">
        <v>3</v>
      </c>
      <c r="F35" s="5" t="s">
        <v>478</v>
      </c>
      <c r="G35" s="11"/>
      <c r="H35" s="11"/>
      <c r="I35" s="5" t="s">
        <v>479</v>
      </c>
      <c r="J35" s="253">
        <f t="shared" si="2"/>
        <v>1.7E-5</v>
      </c>
      <c r="K35" s="11" t="s">
        <v>3</v>
      </c>
      <c r="L35" s="5"/>
    </row>
    <row r="36" spans="1:12" ht="28.8" x14ac:dyDescent="0.3">
      <c r="A36" s="550"/>
      <c r="B36" s="11" t="s">
        <v>448</v>
      </c>
      <c r="C36" s="10">
        <v>0.85</v>
      </c>
      <c r="D36" s="11"/>
      <c r="E36" s="11" t="s">
        <v>3</v>
      </c>
      <c r="F36" s="5" t="s">
        <v>478</v>
      </c>
      <c r="G36" s="11"/>
      <c r="H36" s="11"/>
      <c r="I36" s="5" t="s">
        <v>480</v>
      </c>
      <c r="J36" s="253">
        <f t="shared" si="2"/>
        <v>0.85</v>
      </c>
      <c r="K36" s="11" t="s">
        <v>3</v>
      </c>
      <c r="L36" s="5" t="s">
        <v>499</v>
      </c>
    </row>
    <row r="37" spans="1:12" ht="28.8" x14ac:dyDescent="0.3">
      <c r="A37" s="550"/>
      <c r="B37" s="11" t="s">
        <v>454</v>
      </c>
      <c r="C37" s="10">
        <v>0.85</v>
      </c>
      <c r="D37" s="11"/>
      <c r="E37" s="11" t="s">
        <v>3</v>
      </c>
      <c r="F37" s="5" t="s">
        <v>478</v>
      </c>
      <c r="G37" s="11"/>
      <c r="H37" s="11"/>
      <c r="I37" s="5" t="s">
        <v>482</v>
      </c>
      <c r="J37" s="253">
        <f t="shared" si="2"/>
        <v>0.85</v>
      </c>
      <c r="K37" s="11" t="s">
        <v>3</v>
      </c>
      <c r="L37" s="5"/>
    </row>
    <row r="38" spans="1:12" ht="12.45" customHeight="1" x14ac:dyDescent="0.3">
      <c r="A38" s="550"/>
      <c r="B38" s="11" t="s">
        <v>451</v>
      </c>
      <c r="C38" s="10">
        <v>2.1000000000000001E-2</v>
      </c>
      <c r="D38" s="11"/>
      <c r="E38" s="11" t="s">
        <v>3</v>
      </c>
      <c r="F38" s="5" t="s">
        <v>478</v>
      </c>
      <c r="G38" s="11"/>
      <c r="H38" s="11"/>
      <c r="I38" s="13" t="s">
        <v>483</v>
      </c>
      <c r="J38" s="253">
        <f t="shared" si="2"/>
        <v>2.1000000000000001E-2</v>
      </c>
      <c r="K38" s="11" t="s">
        <v>3</v>
      </c>
      <c r="L38" s="5"/>
    </row>
    <row r="39" spans="1:12" ht="28.8" x14ac:dyDescent="0.3">
      <c r="A39" s="550"/>
      <c r="B39" s="11" t="s">
        <v>452</v>
      </c>
      <c r="C39" s="10">
        <v>6.7999999999999996E-3</v>
      </c>
      <c r="D39" s="11"/>
      <c r="E39" s="11" t="s">
        <v>3</v>
      </c>
      <c r="F39" s="5" t="s">
        <v>478</v>
      </c>
      <c r="G39" s="11"/>
      <c r="H39" s="11"/>
      <c r="I39" s="5" t="s">
        <v>273</v>
      </c>
      <c r="J39" s="253">
        <f t="shared" si="2"/>
        <v>6.7999999999999996E-3</v>
      </c>
      <c r="K39" s="11" t="s">
        <v>3</v>
      </c>
      <c r="L39" s="5"/>
    </row>
    <row r="40" spans="1:12" ht="28.8" x14ac:dyDescent="0.3">
      <c r="A40" s="550"/>
      <c r="B40" s="11" t="s">
        <v>453</v>
      </c>
      <c r="C40" s="10">
        <f>0.0019</f>
        <v>1.9E-3</v>
      </c>
      <c r="D40" s="11"/>
      <c r="E40" s="11" t="s">
        <v>3</v>
      </c>
      <c r="F40" s="5" t="s">
        <v>478</v>
      </c>
      <c r="G40" s="11"/>
      <c r="H40" s="11"/>
      <c r="I40" s="5" t="s">
        <v>484</v>
      </c>
      <c r="J40" s="253">
        <f t="shared" si="2"/>
        <v>1.9E-3</v>
      </c>
      <c r="K40" s="11" t="s">
        <v>3</v>
      </c>
      <c r="L40" s="5"/>
    </row>
    <row r="41" spans="1:12" ht="28.8" x14ac:dyDescent="0.3">
      <c r="A41" s="550"/>
      <c r="B41" s="11" t="s">
        <v>449</v>
      </c>
      <c r="C41" s="10">
        <f>SUM(C40,C39,C33)</f>
        <v>8.8999999999999999E-3</v>
      </c>
      <c r="D41" s="11"/>
      <c r="E41" s="11" t="s">
        <v>3</v>
      </c>
      <c r="F41" s="5" t="s">
        <v>478</v>
      </c>
      <c r="G41" s="11"/>
      <c r="H41" s="11"/>
      <c r="I41" s="5" t="s">
        <v>481</v>
      </c>
      <c r="J41" s="253">
        <f>C41</f>
        <v>8.8999999999999999E-3</v>
      </c>
      <c r="K41" s="11" t="s">
        <v>3</v>
      </c>
      <c r="L41" s="5"/>
    </row>
    <row r="42" spans="1:12" ht="14.55" customHeight="1" x14ac:dyDescent="0.3">
      <c r="A42" s="550"/>
      <c r="B42" s="11" t="s">
        <v>500</v>
      </c>
      <c r="C42" s="10">
        <v>5.7000000000000002E-3</v>
      </c>
      <c r="D42" s="11"/>
      <c r="E42" s="11" t="s">
        <v>3</v>
      </c>
      <c r="F42" s="5" t="s">
        <v>478</v>
      </c>
      <c r="G42" s="11"/>
      <c r="H42" s="11"/>
      <c r="I42" t="s">
        <v>485</v>
      </c>
      <c r="J42" s="253">
        <f t="shared" si="2"/>
        <v>5.7000000000000002E-3</v>
      </c>
      <c r="K42" s="11" t="s">
        <v>3</v>
      </c>
      <c r="L42" s="5"/>
    </row>
    <row r="43" spans="1:12" ht="28.8" x14ac:dyDescent="0.3">
      <c r="A43" s="550"/>
      <c r="B43" s="11" t="s">
        <v>450</v>
      </c>
      <c r="C43" s="10">
        <v>5.7000000000000002E-3</v>
      </c>
      <c r="D43" s="11"/>
      <c r="E43" s="11" t="s">
        <v>3</v>
      </c>
      <c r="F43" s="5" t="s">
        <v>478</v>
      </c>
      <c r="G43" s="11"/>
      <c r="H43" s="11"/>
      <c r="I43" s="11" t="s">
        <v>486</v>
      </c>
      <c r="J43" s="253">
        <f t="shared" si="2"/>
        <v>5.7000000000000002E-3</v>
      </c>
      <c r="K43" s="11" t="s">
        <v>3</v>
      </c>
      <c r="L43" s="5"/>
    </row>
    <row r="44" spans="1:12" x14ac:dyDescent="0.3">
      <c r="A44" s="551"/>
      <c r="B44" s="203"/>
      <c r="C44" s="258"/>
      <c r="D44" s="203"/>
      <c r="E44" s="203"/>
      <c r="F44" s="202"/>
      <c r="G44" s="203"/>
      <c r="H44" s="203"/>
      <c r="I44" s="4" t="s">
        <v>658</v>
      </c>
      <c r="J44" s="236">
        <v>2E-8</v>
      </c>
      <c r="K44" s="4" t="s">
        <v>22</v>
      </c>
      <c r="L44" s="202" t="s">
        <v>662</v>
      </c>
    </row>
    <row r="45" spans="1:12" ht="28.8" x14ac:dyDescent="0.3">
      <c r="A45" s="557" t="s">
        <v>456</v>
      </c>
      <c r="B45" s="11" t="s">
        <v>442</v>
      </c>
      <c r="C45" s="218">
        <v>1</v>
      </c>
      <c r="D45" s="11"/>
      <c r="E45" s="11"/>
      <c r="F45" s="5" t="s">
        <v>478</v>
      </c>
      <c r="G45" s="5"/>
      <c r="H45" s="11"/>
      <c r="I45" s="5" t="s">
        <v>444</v>
      </c>
      <c r="J45" s="253">
        <v>1</v>
      </c>
      <c r="K45" s="11" t="s">
        <v>3</v>
      </c>
      <c r="L45" s="5"/>
    </row>
    <row r="46" spans="1:12" ht="28.8" x14ac:dyDescent="0.3">
      <c r="A46" s="550"/>
      <c r="B46" s="11" t="s">
        <v>459</v>
      </c>
      <c r="C46" s="218">
        <v>1.4E-3</v>
      </c>
      <c r="D46" s="11"/>
      <c r="E46" s="11" t="s">
        <v>3</v>
      </c>
      <c r="F46" s="5" t="s">
        <v>478</v>
      </c>
      <c r="G46" s="11"/>
      <c r="H46" s="11"/>
      <c r="I46" s="5" t="s">
        <v>480</v>
      </c>
      <c r="J46" s="253">
        <f>C46</f>
        <v>1.4E-3</v>
      </c>
      <c r="K46" s="11" t="s">
        <v>3</v>
      </c>
      <c r="L46" s="5"/>
    </row>
    <row r="47" spans="1:12" ht="28.8" x14ac:dyDescent="0.3">
      <c r="A47" s="550"/>
      <c r="B47" s="11" t="s">
        <v>454</v>
      </c>
      <c r="C47" s="218">
        <v>1.4E-3</v>
      </c>
      <c r="D47" s="11"/>
      <c r="E47" s="11" t="s">
        <v>3</v>
      </c>
      <c r="F47" s="5" t="s">
        <v>478</v>
      </c>
      <c r="G47" s="11"/>
      <c r="H47" s="11"/>
      <c r="I47" s="5" t="s">
        <v>482</v>
      </c>
      <c r="J47" s="253">
        <f t="shared" ref="J47:J59" si="3">C47</f>
        <v>1.4E-3</v>
      </c>
      <c r="K47" s="11" t="s">
        <v>3</v>
      </c>
      <c r="L47" s="5"/>
    </row>
    <row r="48" spans="1:12" ht="28.8" x14ac:dyDescent="0.3">
      <c r="A48" s="550"/>
      <c r="B48" s="5" t="s">
        <v>488</v>
      </c>
      <c r="C48" s="218">
        <v>0.12</v>
      </c>
      <c r="D48" s="11"/>
      <c r="E48" s="11" t="s">
        <v>3</v>
      </c>
      <c r="F48" s="5" t="s">
        <v>478</v>
      </c>
      <c r="G48" s="11"/>
      <c r="H48" s="11"/>
      <c r="I48" s="5" t="s">
        <v>12</v>
      </c>
      <c r="J48" s="253">
        <f t="shared" si="3"/>
        <v>0.12</v>
      </c>
      <c r="K48" s="11" t="s">
        <v>3</v>
      </c>
      <c r="L48" s="5"/>
    </row>
    <row r="49" spans="1:12" ht="28.8" x14ac:dyDescent="0.3">
      <c r="A49" s="550"/>
      <c r="B49" s="11" t="s">
        <v>461</v>
      </c>
      <c r="C49" s="218">
        <v>0.12</v>
      </c>
      <c r="D49" s="11"/>
      <c r="E49" s="11" t="s">
        <v>3</v>
      </c>
      <c r="F49" s="5" t="s">
        <v>478</v>
      </c>
      <c r="G49" s="11"/>
      <c r="H49" s="11"/>
      <c r="I49" s="5" t="s">
        <v>487</v>
      </c>
      <c r="J49" s="253">
        <f t="shared" si="3"/>
        <v>0.12</v>
      </c>
      <c r="K49" s="11" t="s">
        <v>3</v>
      </c>
      <c r="L49" s="5"/>
    </row>
    <row r="50" spans="1:12" ht="28.8" x14ac:dyDescent="0.3">
      <c r="A50" s="550"/>
      <c r="B50" s="11" t="s">
        <v>465</v>
      </c>
      <c r="C50" s="218">
        <v>4.3999999999999997E-2</v>
      </c>
      <c r="D50" s="11"/>
      <c r="E50" s="11" t="s">
        <v>3</v>
      </c>
      <c r="F50" s="5" t="s">
        <v>478</v>
      </c>
      <c r="G50" s="11"/>
      <c r="H50" s="11"/>
      <c r="I50" s="5" t="s">
        <v>489</v>
      </c>
      <c r="J50" s="253">
        <f t="shared" si="3"/>
        <v>4.3999999999999997E-2</v>
      </c>
      <c r="K50" s="11" t="s">
        <v>3</v>
      </c>
      <c r="L50" s="5"/>
    </row>
    <row r="51" spans="1:12" ht="28.8" x14ac:dyDescent="0.3">
      <c r="A51" s="550"/>
      <c r="B51" s="11" t="s">
        <v>466</v>
      </c>
      <c r="C51" s="218">
        <v>3.5999999999999999E-3</v>
      </c>
      <c r="D51" s="11"/>
      <c r="E51" s="11" t="s">
        <v>3</v>
      </c>
      <c r="F51" s="5" t="s">
        <v>478</v>
      </c>
      <c r="G51" s="11"/>
      <c r="H51" s="11"/>
      <c r="I51" s="5" t="s">
        <v>504</v>
      </c>
      <c r="J51" s="253">
        <f t="shared" si="3"/>
        <v>3.5999999999999999E-3</v>
      </c>
      <c r="K51" s="11" t="s">
        <v>3</v>
      </c>
      <c r="L51" s="5"/>
    </row>
    <row r="52" spans="1:12" ht="28.8" x14ac:dyDescent="0.3">
      <c r="A52" s="550"/>
      <c r="B52" s="11" t="s">
        <v>467</v>
      </c>
      <c r="C52" s="218">
        <v>5.7000000000000002E-2</v>
      </c>
      <c r="D52" s="11"/>
      <c r="E52" s="11" t="s">
        <v>3</v>
      </c>
      <c r="F52" s="5" t="s">
        <v>478</v>
      </c>
      <c r="G52" s="11"/>
      <c r="H52" s="11"/>
      <c r="I52" s="5" t="s">
        <v>273</v>
      </c>
      <c r="J52" s="253">
        <f t="shared" si="3"/>
        <v>5.7000000000000002E-2</v>
      </c>
      <c r="K52" s="11" t="s">
        <v>3</v>
      </c>
      <c r="L52" s="5"/>
    </row>
    <row r="53" spans="1:12" ht="28.8" x14ac:dyDescent="0.3">
      <c r="A53" s="550"/>
      <c r="B53" s="11" t="s">
        <v>468</v>
      </c>
      <c r="C53" s="218">
        <v>0.27</v>
      </c>
      <c r="D53" s="11"/>
      <c r="E53" s="11" t="s">
        <v>3</v>
      </c>
      <c r="F53" s="5" t="s">
        <v>478</v>
      </c>
      <c r="G53" s="11"/>
      <c r="H53" s="11"/>
      <c r="I53" s="5" t="s">
        <v>53</v>
      </c>
      <c r="J53" s="253">
        <f t="shared" si="3"/>
        <v>0.27</v>
      </c>
      <c r="K53" s="11" t="s">
        <v>3</v>
      </c>
      <c r="L53" s="573" t="s">
        <v>490</v>
      </c>
    </row>
    <row r="54" spans="1:12" ht="28.8" x14ac:dyDescent="0.3">
      <c r="A54" s="550"/>
      <c r="B54" s="11" t="s">
        <v>463</v>
      </c>
      <c r="C54" s="218">
        <v>0.27</v>
      </c>
      <c r="D54" s="11"/>
      <c r="E54" s="11" t="s">
        <v>3</v>
      </c>
      <c r="F54" s="5" t="s">
        <v>478</v>
      </c>
      <c r="G54" s="11"/>
      <c r="H54" s="11"/>
      <c r="I54" s="5" t="s">
        <v>505</v>
      </c>
      <c r="J54" s="253">
        <f t="shared" si="3"/>
        <v>0.27</v>
      </c>
      <c r="K54" s="11" t="s">
        <v>3</v>
      </c>
      <c r="L54" s="573"/>
    </row>
    <row r="55" spans="1:12" ht="28.8" x14ac:dyDescent="0.3">
      <c r="A55" s="550"/>
      <c r="B55" s="11" t="s">
        <v>469</v>
      </c>
      <c r="C55" s="218">
        <v>3.2000000000000001E-2</v>
      </c>
      <c r="D55" s="11"/>
      <c r="E55" s="11" t="s">
        <v>3</v>
      </c>
      <c r="F55" s="5" t="s">
        <v>478</v>
      </c>
      <c r="G55" s="11"/>
      <c r="H55" s="11"/>
      <c r="I55" s="5" t="s">
        <v>491</v>
      </c>
      <c r="J55" s="253">
        <f t="shared" si="3"/>
        <v>3.2000000000000001E-2</v>
      </c>
      <c r="K55" s="11" t="s">
        <v>3</v>
      </c>
      <c r="L55" s="5"/>
    </row>
    <row r="56" spans="1:12" ht="28.8" x14ac:dyDescent="0.3">
      <c r="A56" s="550"/>
      <c r="B56" s="11" t="s">
        <v>470</v>
      </c>
      <c r="C56" s="218">
        <v>1.6E-2</v>
      </c>
      <c r="D56" s="11"/>
      <c r="E56" s="11" t="s">
        <v>3</v>
      </c>
      <c r="F56" s="5" t="s">
        <v>478</v>
      </c>
      <c r="G56" s="11"/>
      <c r="H56" s="11"/>
      <c r="I56" s="5" t="s">
        <v>492</v>
      </c>
      <c r="J56" s="253">
        <f t="shared" si="3"/>
        <v>1.6E-2</v>
      </c>
      <c r="K56" s="11" t="s">
        <v>3</v>
      </c>
      <c r="L56" s="5"/>
    </row>
    <row r="57" spans="1:12" ht="28.8" x14ac:dyDescent="0.3">
      <c r="A57" s="550"/>
      <c r="B57" s="11" t="s">
        <v>464</v>
      </c>
      <c r="C57" s="218">
        <v>1.6E-2</v>
      </c>
      <c r="D57" s="11"/>
      <c r="E57" s="11" t="s">
        <v>3</v>
      </c>
      <c r="F57" s="5" t="s">
        <v>478</v>
      </c>
      <c r="G57" s="11"/>
      <c r="H57" s="11"/>
      <c r="I57" s="5" t="s">
        <v>493</v>
      </c>
      <c r="J57" s="218">
        <f t="shared" si="3"/>
        <v>1.6E-2</v>
      </c>
      <c r="K57" s="11" t="s">
        <v>3</v>
      </c>
      <c r="L57" s="5"/>
    </row>
    <row r="58" spans="1:12" ht="28.8" x14ac:dyDescent="0.3">
      <c r="A58" s="550"/>
      <c r="B58" s="11" t="s">
        <v>460</v>
      </c>
      <c r="C58" s="218">
        <v>0.45</v>
      </c>
      <c r="D58" s="11"/>
      <c r="E58" s="11" t="s">
        <v>3</v>
      </c>
      <c r="F58" s="5" t="s">
        <v>478</v>
      </c>
      <c r="G58" s="11"/>
      <c r="H58" s="11"/>
      <c r="I58" s="5" t="s">
        <v>494</v>
      </c>
      <c r="J58" s="254">
        <f t="shared" si="3"/>
        <v>0.45</v>
      </c>
      <c r="K58" s="11" t="s">
        <v>3</v>
      </c>
      <c r="L58" s="5"/>
    </row>
    <row r="59" spans="1:12" ht="28.8" x14ac:dyDescent="0.3">
      <c r="A59" s="550"/>
      <c r="B59" s="11" t="s">
        <v>462</v>
      </c>
      <c r="C59" s="218">
        <f>SUM(C55,C52,C51,C50)</f>
        <v>0.1366</v>
      </c>
      <c r="D59" s="11"/>
      <c r="E59" s="11" t="s">
        <v>3</v>
      </c>
      <c r="F59" s="5" t="s">
        <v>478</v>
      </c>
      <c r="G59" s="11"/>
      <c r="H59" s="11"/>
      <c r="I59" s="5" t="s">
        <v>481</v>
      </c>
      <c r="J59" s="218">
        <f t="shared" si="3"/>
        <v>0.1366</v>
      </c>
      <c r="K59" s="11" t="s">
        <v>3</v>
      </c>
      <c r="L59" s="5"/>
    </row>
    <row r="60" spans="1:12" x14ac:dyDescent="0.3">
      <c r="A60" s="551"/>
      <c r="B60" s="203"/>
      <c r="C60" s="258"/>
      <c r="D60" s="203"/>
      <c r="E60" s="203"/>
      <c r="F60" s="202"/>
      <c r="G60" s="203"/>
      <c r="H60" s="203"/>
      <c r="I60" s="4" t="s">
        <v>658</v>
      </c>
      <c r="J60" s="4">
        <v>2E-8</v>
      </c>
      <c r="K60" s="4" t="s">
        <v>22</v>
      </c>
      <c r="L60" s="202"/>
    </row>
    <row r="61" spans="1:12" ht="28.8" x14ac:dyDescent="0.3">
      <c r="A61" s="557" t="s">
        <v>471</v>
      </c>
      <c r="B61" s="11" t="s">
        <v>472</v>
      </c>
      <c r="C61" s="218">
        <v>1</v>
      </c>
      <c r="D61" s="11"/>
      <c r="E61" s="11" t="s">
        <v>3</v>
      </c>
      <c r="F61" s="5" t="s">
        <v>478</v>
      </c>
      <c r="G61" s="11"/>
      <c r="H61" s="11"/>
      <c r="I61" s="5" t="s">
        <v>443</v>
      </c>
      <c r="J61" s="218">
        <v>1</v>
      </c>
      <c r="K61" s="11" t="s">
        <v>3</v>
      </c>
      <c r="L61" s="5"/>
    </row>
    <row r="62" spans="1:12" ht="28.8" x14ac:dyDescent="0.3">
      <c r="A62" s="550"/>
      <c r="B62" s="11" t="s">
        <v>474</v>
      </c>
      <c r="C62" s="218">
        <v>2.9000000000000001E-2</v>
      </c>
      <c r="D62" s="11"/>
      <c r="E62" s="11" t="s">
        <v>3</v>
      </c>
      <c r="F62" s="5" t="s">
        <v>478</v>
      </c>
      <c r="G62" s="11"/>
      <c r="H62" s="11"/>
      <c r="I62" s="5" t="s">
        <v>484</v>
      </c>
      <c r="J62" s="218">
        <f>C62</f>
        <v>2.9000000000000001E-2</v>
      </c>
      <c r="K62" s="11" t="s">
        <v>3</v>
      </c>
      <c r="L62" s="5"/>
    </row>
    <row r="63" spans="1:12" ht="28.8" x14ac:dyDescent="0.3">
      <c r="A63" s="550"/>
      <c r="B63" s="11" t="s">
        <v>473</v>
      </c>
      <c r="C63" s="218">
        <v>2.9000000000000001E-2</v>
      </c>
      <c r="D63" s="11"/>
      <c r="E63" s="11" t="s">
        <v>3</v>
      </c>
      <c r="F63" s="5" t="s">
        <v>478</v>
      </c>
      <c r="G63" s="11"/>
      <c r="H63" s="11"/>
      <c r="I63" s="5" t="s">
        <v>481</v>
      </c>
      <c r="J63" s="218">
        <f t="shared" ref="J63:J64" si="4">C63</f>
        <v>2.9000000000000001E-2</v>
      </c>
      <c r="K63" s="11" t="s">
        <v>3</v>
      </c>
      <c r="L63" s="5"/>
    </row>
    <row r="64" spans="1:12" ht="28.8" x14ac:dyDescent="0.3">
      <c r="A64" s="550"/>
      <c r="B64" s="11" t="s">
        <v>475</v>
      </c>
      <c r="C64" s="218">
        <v>0.97</v>
      </c>
      <c r="D64" s="11"/>
      <c r="E64" s="11" t="s">
        <v>3</v>
      </c>
      <c r="F64" s="5" t="s">
        <v>478</v>
      </c>
      <c r="G64" s="11"/>
      <c r="H64" s="11"/>
      <c r="I64" s="5" t="s">
        <v>337</v>
      </c>
      <c r="J64" s="218">
        <f t="shared" si="4"/>
        <v>0.97</v>
      </c>
      <c r="K64" s="11" t="s">
        <v>3</v>
      </c>
      <c r="L64" s="5"/>
    </row>
    <row r="65" spans="1:12" x14ac:dyDescent="0.3">
      <c r="A65" s="551"/>
      <c r="B65" s="203"/>
      <c r="C65" s="258"/>
      <c r="D65" s="203"/>
      <c r="E65" s="203"/>
      <c r="F65" s="202"/>
      <c r="G65" s="203"/>
      <c r="H65" s="203"/>
      <c r="I65" s="4" t="s">
        <v>658</v>
      </c>
      <c r="J65" s="4">
        <v>2E-8</v>
      </c>
      <c r="K65" s="4" t="s">
        <v>22</v>
      </c>
      <c r="L65" s="202"/>
    </row>
    <row r="66" spans="1:12" ht="28.95" customHeight="1" x14ac:dyDescent="0.3">
      <c r="A66" s="557" t="s">
        <v>579</v>
      </c>
      <c r="B66" s="269" t="s">
        <v>506</v>
      </c>
      <c r="C66" s="408">
        <f>SUM(C67,C69,C70,C72,C74,C76)</f>
        <v>5.7140425531914923E-2</v>
      </c>
      <c r="D66" s="300"/>
      <c r="E66" s="297" t="s">
        <v>69</v>
      </c>
      <c r="F66" s="295" t="s">
        <v>553</v>
      </c>
      <c r="G66" s="50"/>
      <c r="H66" s="50"/>
      <c r="I66" s="11" t="s">
        <v>734</v>
      </c>
      <c r="J66" s="51">
        <v>1</v>
      </c>
      <c r="K66" s="42" t="s">
        <v>3</v>
      </c>
      <c r="L66" s="50"/>
    </row>
    <row r="67" spans="1:12" ht="14.55" customHeight="1" x14ac:dyDescent="0.3">
      <c r="A67" s="550"/>
      <c r="B67" s="108" t="s">
        <v>79</v>
      </c>
      <c r="C67" s="301">
        <v>2.7935319148936172E-3</v>
      </c>
      <c r="D67" s="302">
        <f>C67/$C$66</f>
        <v>4.8888888888888864E-2</v>
      </c>
      <c r="E67" s="303"/>
      <c r="F67" s="295" t="s">
        <v>553</v>
      </c>
      <c r="G67" s="139"/>
      <c r="H67" s="16" t="s">
        <v>5</v>
      </c>
      <c r="I67" s="139" t="s">
        <v>53</v>
      </c>
      <c r="J67" s="136">
        <f>D67</f>
        <v>4.8888888888888864E-2</v>
      </c>
      <c r="K67" s="42" t="s">
        <v>3</v>
      </c>
      <c r="L67" s="16" t="s">
        <v>497</v>
      </c>
    </row>
    <row r="68" spans="1:12" ht="14.55" customHeight="1" x14ac:dyDescent="0.3">
      <c r="A68" s="550"/>
      <c r="B68" s="108"/>
      <c r="C68" s="301"/>
      <c r="D68" s="302"/>
      <c r="E68" s="303"/>
      <c r="F68" s="17"/>
      <c r="G68" s="140"/>
      <c r="H68" s="16" t="s">
        <v>5</v>
      </c>
      <c r="I68" s="140" t="s">
        <v>14</v>
      </c>
      <c r="J68" s="141">
        <f>J67</f>
        <v>4.8888888888888864E-2</v>
      </c>
      <c r="K68" s="42" t="s">
        <v>3</v>
      </c>
    </row>
    <row r="69" spans="1:12" ht="28.8" x14ac:dyDescent="0.3">
      <c r="A69" s="550"/>
      <c r="B69" s="108" t="s">
        <v>80</v>
      </c>
      <c r="C69" s="301">
        <v>6.9838297872340429E-4</v>
      </c>
      <c r="D69" s="302">
        <f>C69/$C$66</f>
        <v>1.2222222222222216E-2</v>
      </c>
      <c r="E69" s="303"/>
      <c r="F69" s="295" t="s">
        <v>553</v>
      </c>
      <c r="G69" s="61"/>
      <c r="H69" s="16" t="s">
        <v>5</v>
      </c>
      <c r="I69" s="61" t="s">
        <v>495</v>
      </c>
      <c r="J69" s="137">
        <f>D69</f>
        <v>1.2222222222222216E-2</v>
      </c>
      <c r="K69" s="42" t="s">
        <v>3</v>
      </c>
      <c r="L69" s="25" t="s">
        <v>496</v>
      </c>
    </row>
    <row r="70" spans="1:12" ht="28.8" x14ac:dyDescent="0.3">
      <c r="A70" s="550"/>
      <c r="B70" s="108" t="s">
        <v>83</v>
      </c>
      <c r="C70" s="301">
        <v>2.0518491914893629E-2</v>
      </c>
      <c r="D70" s="302">
        <f>C70/$C$66</f>
        <v>0.3590888888888889</v>
      </c>
      <c r="E70" s="303"/>
      <c r="F70" s="295" t="s">
        <v>553</v>
      </c>
      <c r="H70" s="16" t="s">
        <v>5</v>
      </c>
      <c r="I70" s="131" t="s">
        <v>12</v>
      </c>
      <c r="J70" s="19">
        <f t="shared" ref="J70:J76" si="5">D70</f>
        <v>0.3590888888888889</v>
      </c>
      <c r="K70" s="15" t="s">
        <v>3</v>
      </c>
      <c r="L70" s="16" t="s">
        <v>372</v>
      </c>
    </row>
    <row r="71" spans="1:12" x14ac:dyDescent="0.3">
      <c r="A71" s="550"/>
      <c r="B71" s="108"/>
      <c r="C71" s="301"/>
      <c r="D71" s="302"/>
      <c r="E71" s="303"/>
      <c r="F71" s="17"/>
      <c r="H71" s="16" t="s">
        <v>5</v>
      </c>
      <c r="I71" s="5" t="s">
        <v>516</v>
      </c>
      <c r="J71" s="19">
        <f>J70</f>
        <v>0.3590888888888889</v>
      </c>
      <c r="K71" s="15" t="s">
        <v>3</v>
      </c>
      <c r="L71" s="139" t="s">
        <v>514</v>
      </c>
    </row>
    <row r="72" spans="1:12" ht="43.2" x14ac:dyDescent="0.3">
      <c r="A72" s="550"/>
      <c r="B72" s="108" t="s">
        <v>84</v>
      </c>
      <c r="C72" s="301">
        <v>1.1428085106382979E-3</v>
      </c>
      <c r="D72" s="302">
        <f>C72/$C$66</f>
        <v>1.999999999999999E-2</v>
      </c>
      <c r="E72" s="303"/>
      <c r="F72" s="295" t="s">
        <v>553</v>
      </c>
      <c r="G72" s="16" t="s">
        <v>373</v>
      </c>
      <c r="H72" s="16" t="s">
        <v>5</v>
      </c>
      <c r="I72" s="11" t="s">
        <v>336</v>
      </c>
      <c r="J72" s="19">
        <f t="shared" si="5"/>
        <v>1.999999999999999E-2</v>
      </c>
      <c r="K72" s="15" t="s">
        <v>3</v>
      </c>
    </row>
    <row r="73" spans="1:12" x14ac:dyDescent="0.3">
      <c r="A73" s="550"/>
      <c r="B73" s="108"/>
      <c r="C73" s="301"/>
      <c r="D73" s="302"/>
      <c r="E73" s="303"/>
      <c r="F73" s="17"/>
      <c r="H73" s="16" t="s">
        <v>5</v>
      </c>
      <c r="I73" s="16" t="s">
        <v>274</v>
      </c>
      <c r="J73" s="19">
        <f>J72</f>
        <v>1.999999999999999E-2</v>
      </c>
      <c r="K73" s="15" t="s">
        <v>3</v>
      </c>
    </row>
    <row r="74" spans="1:12" ht="28.8" x14ac:dyDescent="0.3">
      <c r="A74" s="550"/>
      <c r="B74" s="108" t="s">
        <v>81</v>
      </c>
      <c r="C74" s="301">
        <v>2.4876401702127675E-2</v>
      </c>
      <c r="D74" s="302">
        <f>C74/$C$66</f>
        <v>0.43535555555555561</v>
      </c>
      <c r="E74" s="303"/>
      <c r="F74" s="295" t="s">
        <v>553</v>
      </c>
      <c r="H74" s="16" t="s">
        <v>5</v>
      </c>
      <c r="I74" s="11" t="s">
        <v>12</v>
      </c>
      <c r="J74" s="19">
        <f t="shared" ref="J74" si="6">D74</f>
        <v>0.43535555555555561</v>
      </c>
      <c r="K74" s="15" t="s">
        <v>3</v>
      </c>
    </row>
    <row r="75" spans="1:12" x14ac:dyDescent="0.3">
      <c r="A75" s="550"/>
      <c r="B75" s="108"/>
      <c r="C75" s="301"/>
      <c r="D75" s="302"/>
      <c r="E75" s="303"/>
      <c r="F75" s="17"/>
      <c r="H75" s="16" t="s">
        <v>5</v>
      </c>
      <c r="I75" t="s">
        <v>13</v>
      </c>
      <c r="J75" s="19">
        <f>J74</f>
        <v>0.43535555555555561</v>
      </c>
      <c r="K75" s="15" t="s">
        <v>3</v>
      </c>
    </row>
    <row r="76" spans="1:12" ht="28.8" x14ac:dyDescent="0.3">
      <c r="A76" s="550"/>
      <c r="B76" s="108" t="s">
        <v>338</v>
      </c>
      <c r="C76" s="301">
        <v>7.1108085106382987E-3</v>
      </c>
      <c r="D76" s="302">
        <f>C76/$C$66</f>
        <v>0.1244444444444444</v>
      </c>
      <c r="E76" s="303"/>
      <c r="F76" s="295" t="s">
        <v>553</v>
      </c>
      <c r="H76" s="16" t="s">
        <v>5</v>
      </c>
      <c r="I76" s="16" t="s">
        <v>337</v>
      </c>
      <c r="J76" s="19">
        <f t="shared" si="5"/>
        <v>0.1244444444444444</v>
      </c>
      <c r="K76" s="15" t="s">
        <v>3</v>
      </c>
    </row>
    <row r="77" spans="1:12" ht="15" x14ac:dyDescent="0.3">
      <c r="A77" s="550"/>
      <c r="B77" s="267"/>
      <c r="C77" s="276"/>
      <c r="D77" s="276"/>
      <c r="E77" s="140"/>
      <c r="F77" s="140"/>
      <c r="G77" s="140"/>
      <c r="H77" s="16" t="s">
        <v>5</v>
      </c>
      <c r="I77" s="140" t="s">
        <v>381</v>
      </c>
      <c r="J77" s="251">
        <v>4.5800000000000002E-10</v>
      </c>
      <c r="K77" s="105" t="s">
        <v>22</v>
      </c>
      <c r="L77" s="231" t="s">
        <v>995</v>
      </c>
    </row>
    <row r="78" spans="1:12" ht="12.45" customHeight="1" x14ac:dyDescent="0.3">
      <c r="A78" s="551"/>
      <c r="B78" s="106" t="s">
        <v>85</v>
      </c>
      <c r="C78" s="255"/>
      <c r="D78" s="304" t="s">
        <v>69</v>
      </c>
      <c r="E78" s="89" t="s">
        <v>4</v>
      </c>
      <c r="F78" s="107"/>
      <c r="G78" s="89" t="s">
        <v>342</v>
      </c>
      <c r="H78" s="89"/>
      <c r="I78" s="305"/>
      <c r="J78" s="255" t="s">
        <v>69</v>
      </c>
      <c r="K78" s="73"/>
      <c r="L78" s="89"/>
    </row>
    <row r="79" spans="1:12" ht="28.8" x14ac:dyDescent="0.3">
      <c r="A79" s="552" t="s">
        <v>536</v>
      </c>
      <c r="B79" s="56" t="s">
        <v>587</v>
      </c>
      <c r="C79" s="409">
        <f>SUM(C80,C81,C82,C84,C86,C88,C90,C92,C94,C83,C85)</f>
        <v>0.71310280851063779</v>
      </c>
      <c r="D79" s="51"/>
      <c r="E79" s="297"/>
      <c r="F79" s="295" t="s">
        <v>553</v>
      </c>
      <c r="G79" s="50"/>
      <c r="H79" s="50"/>
      <c r="I79" s="68" t="s">
        <v>735</v>
      </c>
      <c r="J79" s="51">
        <v>1</v>
      </c>
      <c r="K79" s="42" t="s">
        <v>3</v>
      </c>
      <c r="L79" s="50"/>
    </row>
    <row r="80" spans="1:12" ht="28.8" x14ac:dyDescent="0.3">
      <c r="A80" s="553"/>
      <c r="B80" s="18" t="s">
        <v>10</v>
      </c>
      <c r="C80" s="299">
        <v>0.12000000000000001</v>
      </c>
      <c r="D80" s="30">
        <f>C80/$C$79</f>
        <v>0.16827868095293008</v>
      </c>
      <c r="E80" s="307"/>
      <c r="F80" s="295" t="s">
        <v>553</v>
      </c>
      <c r="G80" s="23"/>
      <c r="H80" s="23" t="s">
        <v>5</v>
      </c>
      <c r="I80" s="16" t="s">
        <v>256</v>
      </c>
      <c r="J80" s="256">
        <f>D80</f>
        <v>0.16827868095293008</v>
      </c>
      <c r="K80" s="15" t="s">
        <v>3</v>
      </c>
    </row>
    <row r="81" spans="1:12" ht="14.55" customHeight="1" x14ac:dyDescent="0.3">
      <c r="A81" s="553"/>
      <c r="B81" s="18" t="s">
        <v>9</v>
      </c>
      <c r="C81" s="299">
        <v>1.2977191489361705E-2</v>
      </c>
      <c r="D81" s="30">
        <f t="shared" ref="D81:D94" si="7">C81/$C$79</f>
        <v>1.8198205552528147E-2</v>
      </c>
      <c r="E81" s="307"/>
      <c r="F81" s="295" t="s">
        <v>553</v>
      </c>
      <c r="G81" s="23" t="s">
        <v>771</v>
      </c>
      <c r="H81" s="23" t="s">
        <v>5</v>
      </c>
      <c r="I81" s="50" t="s">
        <v>762</v>
      </c>
      <c r="J81" s="256">
        <f t="shared" ref="J81:J94" si="8">D81</f>
        <v>1.8198205552528147E-2</v>
      </c>
      <c r="K81" s="15" t="s">
        <v>3</v>
      </c>
    </row>
    <row r="82" spans="1:12" ht="43.2" x14ac:dyDescent="0.3">
      <c r="A82" s="553"/>
      <c r="B82" s="18" t="s">
        <v>603</v>
      </c>
      <c r="C82" s="299">
        <f>24.4160403404255%*0.637</f>
        <v>0.15553017696851043</v>
      </c>
      <c r="D82" s="30">
        <f>C82/$C$79</f>
        <v>0.21810344190530598</v>
      </c>
      <c r="E82" s="307"/>
      <c r="F82" s="17" t="s">
        <v>554</v>
      </c>
      <c r="G82" s="561" t="s">
        <v>919</v>
      </c>
      <c r="H82" s="23" t="s">
        <v>5</v>
      </c>
      <c r="I82" s="5" t="s">
        <v>747</v>
      </c>
      <c r="J82" s="256">
        <f t="shared" si="8"/>
        <v>0.21810344190530598</v>
      </c>
      <c r="K82" s="15" t="s">
        <v>3</v>
      </c>
      <c r="L82" s="16" t="s">
        <v>935</v>
      </c>
    </row>
    <row r="83" spans="1:12" x14ac:dyDescent="0.3">
      <c r="A83" s="553"/>
      <c r="B83" s="18" t="s">
        <v>604</v>
      </c>
      <c r="C83" s="299">
        <f>24.4160403404255%*0.363</f>
        <v>8.8630226435744558E-2</v>
      </c>
      <c r="D83" s="30">
        <f>C83/$C$79</f>
        <v>0.12428814664305506</v>
      </c>
      <c r="E83" s="308"/>
      <c r="F83" s="17"/>
      <c r="G83" s="563"/>
      <c r="H83" s="23"/>
      <c r="I83" s="5" t="s">
        <v>748</v>
      </c>
      <c r="J83" s="256">
        <f t="shared" si="8"/>
        <v>0.12428814664305506</v>
      </c>
      <c r="K83" s="15" t="s">
        <v>3</v>
      </c>
    </row>
    <row r="84" spans="1:12" ht="43.2" x14ac:dyDescent="0.3">
      <c r="A84" s="553"/>
      <c r="B84" s="18" t="s">
        <v>590</v>
      </c>
      <c r="C84" s="410">
        <f>28.9291839148936%*0.93</f>
        <v>0.26904141040851048</v>
      </c>
      <c r="D84" s="411">
        <f t="shared" si="7"/>
        <v>0.3772827805438338</v>
      </c>
      <c r="E84" s="307"/>
      <c r="F84" s="17" t="s">
        <v>554</v>
      </c>
      <c r="G84" s="570" t="s">
        <v>920</v>
      </c>
      <c r="H84" s="23" t="s">
        <v>5</v>
      </c>
      <c r="I84" s="275" t="s">
        <v>945</v>
      </c>
      <c r="J84" s="256">
        <f t="shared" si="8"/>
        <v>0.3772827805438338</v>
      </c>
      <c r="K84" s="15" t="s">
        <v>3</v>
      </c>
    </row>
    <row r="85" spans="1:12" x14ac:dyDescent="0.3">
      <c r="A85" s="553"/>
      <c r="B85" s="18" t="s">
        <v>605</v>
      </c>
      <c r="C85" s="410">
        <f>28.9291839148936%*0.07</f>
        <v>2.025042874042552E-2</v>
      </c>
      <c r="D85" s="411">
        <f t="shared" si="7"/>
        <v>2.8397628643084264E-2</v>
      </c>
      <c r="E85" s="307"/>
      <c r="F85" s="295"/>
      <c r="G85" s="571"/>
      <c r="H85" s="23"/>
      <c r="I85" s="5" t="s">
        <v>750</v>
      </c>
      <c r="J85" s="256">
        <f t="shared" si="8"/>
        <v>2.8397628643084264E-2</v>
      </c>
      <c r="K85" s="15" t="s">
        <v>3</v>
      </c>
    </row>
    <row r="86" spans="1:12" ht="28.8" x14ac:dyDescent="0.3">
      <c r="A86" s="553"/>
      <c r="B86" s="18" t="s">
        <v>115</v>
      </c>
      <c r="C86" s="299">
        <v>2E-3</v>
      </c>
      <c r="D86" s="30">
        <f t="shared" si="7"/>
        <v>2.8046446825488345E-3</v>
      </c>
      <c r="E86" s="307"/>
      <c r="F86" s="295" t="s">
        <v>553</v>
      </c>
      <c r="G86" s="23" t="s">
        <v>318</v>
      </c>
      <c r="H86" s="23" t="s">
        <v>5</v>
      </c>
      <c r="I86" t="s">
        <v>273</v>
      </c>
      <c r="J86" s="256">
        <f t="shared" si="8"/>
        <v>2.8046446825488345E-3</v>
      </c>
      <c r="K86" s="15" t="s">
        <v>3</v>
      </c>
    </row>
    <row r="87" spans="1:12" x14ac:dyDescent="0.3">
      <c r="A87" s="553"/>
      <c r="B87" s="18"/>
      <c r="C87" s="299"/>
      <c r="D87" s="30"/>
      <c r="E87" s="307"/>
      <c r="F87" s="17"/>
      <c r="G87" s="23"/>
      <c r="H87" s="23" t="s">
        <v>5</v>
      </c>
      <c r="I87" s="16" t="s">
        <v>274</v>
      </c>
      <c r="J87" s="256">
        <f>J86</f>
        <v>2.8046446825488345E-3</v>
      </c>
      <c r="L87" s="16" t="s">
        <v>276</v>
      </c>
    </row>
    <row r="88" spans="1:12" ht="28.8" x14ac:dyDescent="0.3">
      <c r="A88" s="553"/>
      <c r="B88" s="18" t="s">
        <v>116</v>
      </c>
      <c r="C88" s="299">
        <v>8.8000000000000003E-4</v>
      </c>
      <c r="D88" s="30">
        <f t="shared" si="7"/>
        <v>1.2340436603214871E-3</v>
      </c>
      <c r="E88" s="307"/>
      <c r="F88" s="295" t="s">
        <v>553</v>
      </c>
      <c r="G88" s="23" t="s">
        <v>319</v>
      </c>
      <c r="H88" s="23" t="s">
        <v>5</v>
      </c>
      <c r="I88" t="s">
        <v>275</v>
      </c>
      <c r="J88" s="256">
        <f t="shared" si="8"/>
        <v>1.2340436603214871E-3</v>
      </c>
      <c r="K88" s="15" t="s">
        <v>3</v>
      </c>
    </row>
    <row r="89" spans="1:12" x14ac:dyDescent="0.3">
      <c r="A89" s="553"/>
      <c r="B89" s="18"/>
      <c r="C89" s="299"/>
      <c r="D89" s="30"/>
      <c r="E89" s="307"/>
      <c r="F89" s="17"/>
      <c r="G89" s="23"/>
      <c r="H89" s="23" t="s">
        <v>5</v>
      </c>
      <c r="I89" s="16" t="s">
        <v>274</v>
      </c>
      <c r="J89" s="256">
        <f>J88</f>
        <v>1.2340436603214871E-3</v>
      </c>
      <c r="L89" s="16" t="s">
        <v>276</v>
      </c>
    </row>
    <row r="90" spans="1:12" ht="28.8" x14ac:dyDescent="0.3">
      <c r="A90" s="553"/>
      <c r="B90" s="18" t="s">
        <v>110</v>
      </c>
      <c r="C90" s="299">
        <v>1.2920085106382982E-2</v>
      </c>
      <c r="D90" s="30">
        <f t="shared" si="7"/>
        <v>1.811812399584771E-2</v>
      </c>
      <c r="E90" s="307"/>
      <c r="F90" s="295" t="s">
        <v>553</v>
      </c>
      <c r="G90" s="23" t="s">
        <v>269</v>
      </c>
      <c r="H90" s="23" t="s">
        <v>5</v>
      </c>
      <c r="I90" s="11" t="s">
        <v>12</v>
      </c>
      <c r="J90" s="256">
        <f t="shared" si="8"/>
        <v>1.811812399584771E-2</v>
      </c>
      <c r="K90" s="15" t="s">
        <v>3</v>
      </c>
    </row>
    <row r="91" spans="1:12" x14ac:dyDescent="0.3">
      <c r="A91" s="553"/>
      <c r="B91" s="18"/>
      <c r="C91" s="299"/>
      <c r="D91" s="30"/>
      <c r="E91" s="307"/>
      <c r="F91" s="17"/>
      <c r="G91" s="23"/>
      <c r="H91" s="23" t="s">
        <v>5</v>
      </c>
      <c r="I91" t="s">
        <v>13</v>
      </c>
      <c r="J91" s="256">
        <f>J90</f>
        <v>1.811812399584771E-2</v>
      </c>
    </row>
    <row r="92" spans="1:12" ht="28.8" x14ac:dyDescent="0.3">
      <c r="A92" s="553"/>
      <c r="B92" s="18" t="s">
        <v>111</v>
      </c>
      <c r="C92" s="299">
        <v>7.3409574468085124E-3</v>
      </c>
      <c r="D92" s="30">
        <f t="shared" si="7"/>
        <v>1.0294388634004382E-2</v>
      </c>
      <c r="E92" s="307"/>
      <c r="F92" s="295" t="s">
        <v>553</v>
      </c>
      <c r="G92" s="23"/>
      <c r="H92" s="23" t="s">
        <v>5</v>
      </c>
      <c r="I92" t="s">
        <v>12</v>
      </c>
      <c r="J92" s="256">
        <f t="shared" si="8"/>
        <v>1.0294388634004382E-2</v>
      </c>
      <c r="K92" s="15" t="s">
        <v>3</v>
      </c>
    </row>
    <row r="93" spans="1:12" x14ac:dyDescent="0.3">
      <c r="A93" s="553"/>
      <c r="B93" s="18"/>
      <c r="C93" s="299"/>
      <c r="D93" s="30"/>
      <c r="E93" s="307"/>
      <c r="F93" s="17"/>
      <c r="G93" s="23"/>
      <c r="H93" s="23" t="s">
        <v>5</v>
      </c>
      <c r="I93" t="s">
        <v>13</v>
      </c>
      <c r="J93" s="256">
        <f>J92</f>
        <v>1.0294388634004382E-2</v>
      </c>
      <c r="L93" s="16" t="s">
        <v>270</v>
      </c>
    </row>
    <row r="94" spans="1:12" ht="28.8" x14ac:dyDescent="0.3">
      <c r="A94" s="553"/>
      <c r="B94" s="18" t="s">
        <v>112</v>
      </c>
      <c r="C94" s="299">
        <v>2.353233191489355E-2</v>
      </c>
      <c r="D94" s="30">
        <f t="shared" si="7"/>
        <v>3.2999914786540213E-2</v>
      </c>
      <c r="E94" s="307"/>
      <c r="F94" s="295" t="s">
        <v>553</v>
      </c>
      <c r="G94" s="23"/>
      <c r="H94" s="23" t="s">
        <v>5</v>
      </c>
      <c r="I94" s="23" t="s">
        <v>271</v>
      </c>
      <c r="J94" s="256">
        <f t="shared" si="8"/>
        <v>3.2999914786540213E-2</v>
      </c>
      <c r="K94" s="15" t="s">
        <v>3</v>
      </c>
      <c r="L94" s="16" t="s">
        <v>936</v>
      </c>
    </row>
    <row r="95" spans="1:12" x14ac:dyDescent="0.3">
      <c r="A95" s="553"/>
      <c r="B95" s="18"/>
      <c r="D95" s="30"/>
      <c r="E95" s="307"/>
      <c r="F95" s="17"/>
      <c r="G95" s="23"/>
      <c r="H95" s="23" t="s">
        <v>5</v>
      </c>
      <c r="I95" t="s">
        <v>14</v>
      </c>
      <c r="J95" s="256">
        <f>J94</f>
        <v>3.2999914786540213E-2</v>
      </c>
      <c r="K95" s="15" t="s">
        <v>3</v>
      </c>
      <c r="L95" s="16" t="s">
        <v>270</v>
      </c>
    </row>
    <row r="96" spans="1:12" ht="28.8" x14ac:dyDescent="0.3">
      <c r="A96" s="553"/>
      <c r="B96" s="23" t="s">
        <v>252</v>
      </c>
      <c r="C96" s="27" t="s">
        <v>254</v>
      </c>
      <c r="D96" s="91"/>
      <c r="E96" s="23" t="s">
        <v>251</v>
      </c>
      <c r="F96" s="16" t="s">
        <v>123</v>
      </c>
      <c r="H96" s="23" t="s">
        <v>5</v>
      </c>
      <c r="I96" s="16" t="s">
        <v>45</v>
      </c>
      <c r="J96" s="264">
        <f>AVERAGE(7,26)*MJ_to_kWh*specific_energy_NMC811</f>
        <v>0.95931429058249118</v>
      </c>
      <c r="K96" s="28" t="s">
        <v>4</v>
      </c>
      <c r="L96" s="23" t="s">
        <v>231</v>
      </c>
    </row>
    <row r="97" spans="1:13" ht="86.4" x14ac:dyDescent="0.3">
      <c r="A97" s="553"/>
      <c r="B97" s="23" t="s">
        <v>253</v>
      </c>
      <c r="C97" s="27" t="s">
        <v>561</v>
      </c>
      <c r="D97" s="91"/>
      <c r="E97" s="23" t="s">
        <v>251</v>
      </c>
      <c r="F97" s="16" t="s">
        <v>123</v>
      </c>
      <c r="G97" s="144" t="s">
        <v>513</v>
      </c>
      <c r="H97" s="23" t="s">
        <v>5</v>
      </c>
      <c r="I97" s="16" t="s">
        <v>754</v>
      </c>
      <c r="J97" s="223">
        <f>AVERAGE(56,71)*specific_energy_NMC811</f>
        <v>13.2908528113879</v>
      </c>
      <c r="K97" s="28" t="s">
        <v>21</v>
      </c>
    </row>
    <row r="98" spans="1:13" ht="28.8" x14ac:dyDescent="0.3">
      <c r="A98" s="553"/>
      <c r="B98" s="23" t="s">
        <v>258</v>
      </c>
      <c r="C98" s="27">
        <f>(1.2+4)</f>
        <v>5.2</v>
      </c>
      <c r="D98" s="91"/>
      <c r="E98" s="23" t="s">
        <v>251</v>
      </c>
      <c r="F98" s="16" t="s">
        <v>40</v>
      </c>
      <c r="G98" s="15"/>
      <c r="H98" s="23" t="s">
        <v>5</v>
      </c>
      <c r="I98" s="16" t="s">
        <v>45</v>
      </c>
      <c r="J98" s="171">
        <f>C98*MJ_to_kWh*specific_energy_NMC811</f>
        <v>0.30232935218357299</v>
      </c>
      <c r="K98" s="28" t="s">
        <v>4</v>
      </c>
      <c r="L98" s="23" t="s">
        <v>231</v>
      </c>
    </row>
    <row r="99" spans="1:13" x14ac:dyDescent="0.3">
      <c r="A99" s="553"/>
      <c r="B99" s="57"/>
      <c r="C99" s="78"/>
      <c r="D99" s="78"/>
      <c r="E99" s="58"/>
      <c r="F99" s="58"/>
      <c r="G99" s="58"/>
      <c r="H99" s="58" t="s">
        <v>5</v>
      </c>
      <c r="I99" s="54" t="s">
        <v>16</v>
      </c>
      <c r="J99" s="259">
        <v>4.0000000000000001E-10</v>
      </c>
      <c r="K99" s="118" t="s">
        <v>22</v>
      </c>
      <c r="L99" s="406"/>
    </row>
    <row r="100" spans="1:13" ht="57.6" x14ac:dyDescent="0.3">
      <c r="A100" s="552" t="s">
        <v>10</v>
      </c>
      <c r="B100" s="56" t="s">
        <v>10</v>
      </c>
      <c r="C100" s="347">
        <f>C80</f>
        <v>0.12000000000000001</v>
      </c>
      <c r="D100" s="300"/>
      <c r="E100" s="294"/>
      <c r="F100" s="295" t="s">
        <v>40</v>
      </c>
      <c r="G100" s="294" t="s">
        <v>921</v>
      </c>
      <c r="H100" s="294"/>
      <c r="I100" s="50" t="s">
        <v>256</v>
      </c>
      <c r="J100" s="51">
        <v>1</v>
      </c>
      <c r="K100" s="42" t="s">
        <v>3</v>
      </c>
      <c r="L100" s="50"/>
    </row>
    <row r="101" spans="1:13" x14ac:dyDescent="0.3">
      <c r="A101" s="553"/>
      <c r="B101" s="18"/>
      <c r="C101" s="310"/>
      <c r="D101" s="311"/>
      <c r="E101" s="23"/>
      <c r="F101" s="17"/>
      <c r="G101" s="23"/>
      <c r="H101" s="23" t="s">
        <v>5</v>
      </c>
      <c r="I101" s="16" t="s">
        <v>16</v>
      </c>
      <c r="J101" s="190">
        <v>4.0000000000000001E-10</v>
      </c>
      <c r="K101" s="28" t="s">
        <v>22</v>
      </c>
      <c r="L101" s="16" t="s">
        <v>665</v>
      </c>
    </row>
    <row r="102" spans="1:13" x14ac:dyDescent="0.3">
      <c r="A102" s="553"/>
      <c r="B102" s="18"/>
      <c r="C102" s="311"/>
      <c r="D102" s="311"/>
      <c r="E102" s="23"/>
      <c r="F102" s="17"/>
      <c r="G102" s="23"/>
      <c r="H102" s="23" t="s">
        <v>5</v>
      </c>
      <c r="I102" s="16" t="s">
        <v>45</v>
      </c>
      <c r="J102" s="190">
        <v>0.41599999999999998</v>
      </c>
      <c r="K102" s="485" t="s">
        <v>4</v>
      </c>
      <c r="L102" s="515" t="s">
        <v>1019</v>
      </c>
      <c r="M102" s="76"/>
    </row>
    <row r="103" spans="1:13" ht="28.8" x14ac:dyDescent="0.3">
      <c r="A103" s="553"/>
      <c r="B103" s="15" t="s">
        <v>88</v>
      </c>
      <c r="C103" s="90">
        <v>1.5120000000000001E-2</v>
      </c>
      <c r="D103" s="30">
        <f>C103/$C$100</f>
        <v>0.126</v>
      </c>
      <c r="E103" s="23"/>
      <c r="F103" s="17" t="s">
        <v>122</v>
      </c>
      <c r="G103" s="17" t="s">
        <v>121</v>
      </c>
      <c r="H103" s="23" t="s">
        <v>5</v>
      </c>
      <c r="I103" s="15" t="s">
        <v>88</v>
      </c>
      <c r="J103" s="19">
        <f>D103</f>
        <v>0.126</v>
      </c>
      <c r="K103" s="15" t="s">
        <v>3</v>
      </c>
    </row>
    <row r="104" spans="1:13" ht="28.8" x14ac:dyDescent="0.3">
      <c r="A104" s="553"/>
      <c r="B104" s="15" t="s">
        <v>89</v>
      </c>
      <c r="C104" s="90">
        <v>5.1000000000000004E-2</v>
      </c>
      <c r="D104" s="30">
        <f t="shared" ref="D104:D106" si="9">C104/$C$100</f>
        <v>0.42499999999999999</v>
      </c>
      <c r="E104" s="23"/>
      <c r="F104" s="17" t="s">
        <v>122</v>
      </c>
      <c r="G104" s="17" t="s">
        <v>654</v>
      </c>
      <c r="H104" s="23" t="s">
        <v>5</v>
      </c>
      <c r="I104" s="146" t="s">
        <v>89</v>
      </c>
      <c r="J104" s="19">
        <f t="shared" ref="J104:J106" si="10">D104</f>
        <v>0.42499999999999999</v>
      </c>
      <c r="K104" s="15" t="s">
        <v>3</v>
      </c>
    </row>
    <row r="105" spans="1:13" ht="28.8" x14ac:dyDescent="0.3">
      <c r="A105" s="553"/>
      <c r="B105" s="15" t="s">
        <v>90</v>
      </c>
      <c r="C105" s="90">
        <v>5.1000000000000004E-2</v>
      </c>
      <c r="D105" s="30">
        <f t="shared" si="9"/>
        <v>0.42499999999999999</v>
      </c>
      <c r="E105" s="23"/>
      <c r="F105" s="17" t="s">
        <v>122</v>
      </c>
      <c r="G105" s="17" t="s">
        <v>654</v>
      </c>
      <c r="H105" s="23" t="s">
        <v>5</v>
      </c>
      <c r="I105" s="146" t="s">
        <v>90</v>
      </c>
      <c r="J105" s="19">
        <f t="shared" si="10"/>
        <v>0.42499999999999999</v>
      </c>
      <c r="K105" s="15" t="s">
        <v>3</v>
      </c>
    </row>
    <row r="106" spans="1:13" ht="28.8" x14ac:dyDescent="0.3">
      <c r="A106" s="558"/>
      <c r="B106" s="55" t="s">
        <v>707</v>
      </c>
      <c r="C106" s="312">
        <v>2.8800000000000006E-3</v>
      </c>
      <c r="D106" s="90">
        <f t="shared" si="9"/>
        <v>2.4000000000000004E-2</v>
      </c>
      <c r="E106" s="58"/>
      <c r="F106" s="53" t="s">
        <v>122</v>
      </c>
      <c r="G106" s="53"/>
      <c r="H106" s="23" t="s">
        <v>5</v>
      </c>
      <c r="I106" s="54" t="s">
        <v>706</v>
      </c>
      <c r="J106" s="59">
        <f t="shared" si="10"/>
        <v>2.4000000000000004E-2</v>
      </c>
      <c r="K106" s="55" t="s">
        <v>3</v>
      </c>
      <c r="L106" s="54" t="s">
        <v>902</v>
      </c>
    </row>
    <row r="107" spans="1:13" ht="158.4" x14ac:dyDescent="0.3">
      <c r="A107" s="550" t="s">
        <v>670</v>
      </c>
      <c r="B107" s="74" t="s">
        <v>751</v>
      </c>
      <c r="C107" s="149">
        <v>1</v>
      </c>
      <c r="D107" s="149"/>
      <c r="E107" s="68" t="s">
        <v>3</v>
      </c>
      <c r="F107" s="68"/>
      <c r="G107" s="68" t="s">
        <v>309</v>
      </c>
      <c r="H107" s="68" t="s">
        <v>155</v>
      </c>
      <c r="I107" s="68" t="s">
        <v>706</v>
      </c>
      <c r="J107" s="149">
        <f>C107</f>
        <v>1</v>
      </c>
      <c r="K107" s="67" t="s">
        <v>3</v>
      </c>
      <c r="L107" s="313" t="s">
        <v>416</v>
      </c>
      <c r="M107" s="67"/>
    </row>
    <row r="108" spans="1:13" ht="28.8" x14ac:dyDescent="0.3">
      <c r="A108" s="550"/>
      <c r="B108" s="75"/>
      <c r="C108" s="51"/>
      <c r="D108" s="51"/>
      <c r="E108" s="50"/>
      <c r="F108" s="50"/>
      <c r="G108" s="50"/>
      <c r="H108" s="50" t="s">
        <v>5</v>
      </c>
      <c r="I108" s="50" t="s">
        <v>426</v>
      </c>
      <c r="J108" s="171">
        <f>(101.19)*(1/process_efficiency)*1/86.02</f>
        <v>1.2382677223167196</v>
      </c>
      <c r="K108" s="42" t="s">
        <v>3</v>
      </c>
      <c r="L108" s="25" t="s">
        <v>427</v>
      </c>
      <c r="M108" s="69"/>
    </row>
    <row r="109" spans="1:13" ht="28.8" x14ac:dyDescent="0.3">
      <c r="A109" s="550"/>
      <c r="B109" s="76"/>
      <c r="H109" s="25" t="s">
        <v>5</v>
      </c>
      <c r="I109" s="25" t="s">
        <v>89</v>
      </c>
      <c r="J109" s="171">
        <f>(88.04)*(1/process_efficiency)*1/86.02</f>
        <v>1.0773504325799386</v>
      </c>
      <c r="K109" s="15" t="s">
        <v>3</v>
      </c>
      <c r="L109" s="25" t="s">
        <v>428</v>
      </c>
      <c r="M109" s="15"/>
    </row>
    <row r="110" spans="1:13" ht="28.8" x14ac:dyDescent="0.3">
      <c r="A110" s="550"/>
      <c r="B110" s="76"/>
      <c r="H110" s="16" t="s">
        <v>5</v>
      </c>
      <c r="I110" s="5" t="s">
        <v>265</v>
      </c>
      <c r="J110" s="171">
        <f xml:space="preserve"> 70.9*(1/process_efficiency)*1/86.04</f>
        <v>0.86740561305635078</v>
      </c>
      <c r="K110" s="15" t="s">
        <v>3</v>
      </c>
      <c r="L110" s="25" t="s">
        <v>433</v>
      </c>
      <c r="M110" s="15"/>
    </row>
    <row r="111" spans="1:13" ht="28.8" x14ac:dyDescent="0.3">
      <c r="A111" s="550"/>
      <c r="B111" s="75"/>
      <c r="C111" s="51"/>
      <c r="D111" s="51"/>
      <c r="E111" s="50"/>
      <c r="F111" s="50"/>
      <c r="G111" s="50"/>
      <c r="H111" s="17" t="s">
        <v>165</v>
      </c>
      <c r="I111" s="5" t="s">
        <v>982</v>
      </c>
      <c r="J111" s="137">
        <f>(36.46)*(1/process_efficiency)*1/86.02</f>
        <v>0.44616307101163744</v>
      </c>
      <c r="K111" s="42" t="s">
        <v>3</v>
      </c>
      <c r="L111" s="70" t="s">
        <v>266</v>
      </c>
      <c r="M111" s="69"/>
    </row>
    <row r="112" spans="1:13" ht="28.8" x14ac:dyDescent="0.3">
      <c r="A112" s="550"/>
      <c r="B112" s="75"/>
      <c r="C112" s="51"/>
      <c r="D112" s="51"/>
      <c r="E112" s="50"/>
      <c r="F112" s="50"/>
      <c r="G112" s="50"/>
      <c r="H112" s="17" t="s">
        <v>165</v>
      </c>
      <c r="I112" s="5" t="s">
        <v>1154</v>
      </c>
      <c r="J112" s="137">
        <f>(102.2)*(1/ process_efficiency)*1/86.02</f>
        <v>1.2506271491330045</v>
      </c>
      <c r="K112" s="42" t="s">
        <v>3</v>
      </c>
      <c r="L112" s="70" t="s">
        <v>1155</v>
      </c>
      <c r="M112" s="69"/>
    </row>
    <row r="113" spans="1:13" ht="28.8" x14ac:dyDescent="0.3">
      <c r="A113" s="550"/>
      <c r="B113" s="76"/>
      <c r="H113" s="50" t="s">
        <v>6</v>
      </c>
      <c r="I113" s="50" t="s">
        <v>268</v>
      </c>
      <c r="J113" s="190">
        <f>(1/process_efficiency)*35.45/86.02</f>
        <v>0.43380364419535239</v>
      </c>
      <c r="K113" s="28" t="s">
        <v>3</v>
      </c>
      <c r="L113" s="70" t="s">
        <v>1156</v>
      </c>
      <c r="M113" s="15"/>
    </row>
    <row r="114" spans="1:13" ht="28.8" x14ac:dyDescent="0.3">
      <c r="A114" s="550"/>
      <c r="B114" s="75"/>
      <c r="C114" s="51"/>
      <c r="D114" s="51"/>
      <c r="E114" s="50"/>
      <c r="F114" s="50"/>
      <c r="G114" s="145"/>
      <c r="H114" s="16" t="s">
        <v>307</v>
      </c>
      <c r="I114" s="50" t="s">
        <v>752</v>
      </c>
      <c r="J114" s="190">
        <v>0.50059252154542599</v>
      </c>
      <c r="K114" s="42" t="s">
        <v>3</v>
      </c>
      <c r="L114" s="50" t="s">
        <v>1157</v>
      </c>
      <c r="M114" s="69"/>
    </row>
    <row r="115" spans="1:13" ht="90" x14ac:dyDescent="0.35">
      <c r="A115" s="550"/>
      <c r="B115" s="76"/>
      <c r="H115" s="16" t="s">
        <v>5</v>
      </c>
      <c r="I115" s="16" t="s">
        <v>159</v>
      </c>
      <c r="J115" s="34">
        <v>2.5999999999999999E-2</v>
      </c>
      <c r="K115" s="15" t="s">
        <v>3</v>
      </c>
      <c r="L115" s="416" t="s">
        <v>168</v>
      </c>
      <c r="M115" s="15"/>
    </row>
    <row r="116" spans="1:13" ht="120" x14ac:dyDescent="0.3">
      <c r="A116" s="550"/>
      <c r="B116" s="76"/>
      <c r="H116" s="16" t="s">
        <v>5</v>
      </c>
      <c r="I116" s="16" t="s">
        <v>16</v>
      </c>
      <c r="J116" s="34">
        <v>4.0000000000000001E-10</v>
      </c>
      <c r="K116" s="15" t="s">
        <v>22</v>
      </c>
      <c r="L116" s="315" t="s">
        <v>180</v>
      </c>
      <c r="M116" s="15"/>
    </row>
    <row r="117" spans="1:13" ht="165" x14ac:dyDescent="0.35">
      <c r="A117" s="550"/>
      <c r="B117" s="76"/>
      <c r="H117" s="16" t="s">
        <v>5</v>
      </c>
      <c r="I117" s="16" t="s">
        <v>19</v>
      </c>
      <c r="J117" s="34">
        <v>0.41599999999999998</v>
      </c>
      <c r="K117" s="15" t="s">
        <v>4</v>
      </c>
      <c r="L117" s="416" t="s">
        <v>166</v>
      </c>
      <c r="M117" s="15"/>
    </row>
    <row r="118" spans="1:13" ht="165" x14ac:dyDescent="0.35">
      <c r="A118" s="550"/>
      <c r="B118" s="76"/>
      <c r="H118" s="16" t="s">
        <v>5</v>
      </c>
      <c r="I118" s="16" t="s">
        <v>20</v>
      </c>
      <c r="J118" s="34">
        <v>2.3499999999999996</v>
      </c>
      <c r="K118" s="15" t="s">
        <v>21</v>
      </c>
      <c r="L118" s="416" t="s">
        <v>167</v>
      </c>
      <c r="M118" s="15"/>
    </row>
    <row r="119" spans="1:13" ht="120" x14ac:dyDescent="0.35">
      <c r="A119" s="550"/>
      <c r="B119" s="76"/>
      <c r="H119" s="16" t="s">
        <v>5</v>
      </c>
      <c r="I119" s="16" t="s">
        <v>157</v>
      </c>
      <c r="J119" s="34">
        <v>1.9E-2</v>
      </c>
      <c r="K119" s="15" t="s">
        <v>3</v>
      </c>
      <c r="L119" s="416" t="s">
        <v>169</v>
      </c>
      <c r="M119" s="15"/>
    </row>
    <row r="120" spans="1:13" ht="75" x14ac:dyDescent="0.35">
      <c r="A120" s="550"/>
      <c r="B120" s="76"/>
      <c r="H120" s="16" t="s">
        <v>36</v>
      </c>
      <c r="I120" s="16" t="s">
        <v>161</v>
      </c>
      <c r="J120" s="34">
        <v>1.6399999999999998E-2</v>
      </c>
      <c r="K120" s="15" t="s">
        <v>55</v>
      </c>
      <c r="L120" s="416" t="s">
        <v>170</v>
      </c>
      <c r="M120" s="15"/>
    </row>
    <row r="121" spans="1:13" ht="90" x14ac:dyDescent="0.35">
      <c r="A121" s="550"/>
      <c r="B121" s="76"/>
      <c r="H121" s="16" t="s">
        <v>36</v>
      </c>
      <c r="I121" s="16" t="s">
        <v>162</v>
      </c>
      <c r="J121" s="34">
        <v>8.5999999999999998E-4</v>
      </c>
      <c r="K121" s="15" t="s">
        <v>55</v>
      </c>
      <c r="L121" s="416" t="s">
        <v>171</v>
      </c>
      <c r="M121" s="15"/>
    </row>
    <row r="122" spans="1:13" ht="90" x14ac:dyDescent="0.35">
      <c r="A122" s="550"/>
      <c r="B122" s="76"/>
      <c r="H122" s="16" t="s">
        <v>36</v>
      </c>
      <c r="I122" s="16" t="s">
        <v>160</v>
      </c>
      <c r="J122" s="34">
        <v>8.3000000000000001E-4</v>
      </c>
      <c r="K122" s="15" t="s">
        <v>55</v>
      </c>
      <c r="L122" s="416" t="s">
        <v>171</v>
      </c>
      <c r="M122" s="15"/>
    </row>
    <row r="123" spans="1:13" ht="15" x14ac:dyDescent="0.3">
      <c r="A123" s="550"/>
      <c r="B123" s="76"/>
      <c r="H123" s="16" t="s">
        <v>164</v>
      </c>
      <c r="I123" s="16" t="s">
        <v>163</v>
      </c>
      <c r="J123" s="34">
        <v>1.9E-2</v>
      </c>
      <c r="K123" s="15" t="s">
        <v>3</v>
      </c>
      <c r="L123" s="315" t="s">
        <v>181</v>
      </c>
      <c r="M123" s="15"/>
    </row>
    <row r="124" spans="1:13" ht="75" x14ac:dyDescent="0.35">
      <c r="A124" s="550"/>
      <c r="B124" s="76"/>
      <c r="G124" s="15"/>
      <c r="H124" s="16" t="s">
        <v>164</v>
      </c>
      <c r="I124" s="16" t="s">
        <v>32</v>
      </c>
      <c r="J124" s="34">
        <v>1.4E-3</v>
      </c>
      <c r="K124" s="15" t="s">
        <v>55</v>
      </c>
      <c r="L124" s="416" t="s">
        <v>172</v>
      </c>
      <c r="M124" s="15"/>
    </row>
    <row r="125" spans="1:13" ht="45" x14ac:dyDescent="0.35">
      <c r="A125" s="550"/>
      <c r="B125" s="77"/>
      <c r="C125" s="147"/>
      <c r="D125" s="147"/>
      <c r="E125" s="72"/>
      <c r="F125" s="72"/>
      <c r="G125" s="72"/>
      <c r="H125" s="72" t="s">
        <v>165</v>
      </c>
      <c r="I125" s="72" t="s">
        <v>32</v>
      </c>
      <c r="J125" s="147">
        <v>1.67E-2</v>
      </c>
      <c r="K125" s="71" t="s">
        <v>55</v>
      </c>
      <c r="L125" s="417" t="s">
        <v>173</v>
      </c>
      <c r="M125" s="71"/>
    </row>
    <row r="126" spans="1:13" ht="90" x14ac:dyDescent="0.35">
      <c r="A126" s="550"/>
      <c r="B126" s="11"/>
      <c r="C126" s="218"/>
      <c r="D126" s="218"/>
      <c r="E126" s="5"/>
      <c r="F126" s="5"/>
      <c r="G126" s="5"/>
      <c r="H126" s="16" t="s">
        <v>307</v>
      </c>
      <c r="I126" s="5" t="s">
        <v>54</v>
      </c>
      <c r="J126" s="10">
        <v>2.7E-6</v>
      </c>
      <c r="K126" s="11" t="s">
        <v>55</v>
      </c>
      <c r="L126" s="418" t="s">
        <v>182</v>
      </c>
      <c r="M126" s="11"/>
    </row>
    <row r="127" spans="1:13" ht="28.95" customHeight="1" x14ac:dyDescent="0.3">
      <c r="A127" s="293"/>
      <c r="B127" s="11"/>
      <c r="C127" s="218"/>
      <c r="D127" s="218"/>
      <c r="E127" s="5"/>
      <c r="F127" s="5"/>
      <c r="G127" s="5"/>
      <c r="H127" s="50" t="s">
        <v>6</v>
      </c>
      <c r="I127" s="50" t="s">
        <v>508</v>
      </c>
      <c r="J127" s="190">
        <v>0.42160701832486702</v>
      </c>
      <c r="K127" s="11"/>
      <c r="L127" s="559" t="s">
        <v>903</v>
      </c>
      <c r="M127" s="11"/>
    </row>
    <row r="128" spans="1:13" ht="16.05" customHeight="1" x14ac:dyDescent="0.3">
      <c r="A128" s="293"/>
      <c r="B128" s="11"/>
      <c r="C128" s="218"/>
      <c r="D128" s="218"/>
      <c r="E128" s="5"/>
      <c r="F128" s="5"/>
      <c r="G128" s="5"/>
      <c r="H128" s="50" t="s">
        <v>6</v>
      </c>
      <c r="I128" s="50" t="s">
        <v>509</v>
      </c>
      <c r="J128" s="190">
        <v>0.42160701832486658</v>
      </c>
      <c r="K128" s="11"/>
      <c r="L128" s="559"/>
      <c r="M128" s="11"/>
    </row>
    <row r="129" spans="1:13" ht="16.05" customHeight="1" x14ac:dyDescent="0.3">
      <c r="A129" s="293"/>
      <c r="B129" s="11"/>
      <c r="C129" s="218"/>
      <c r="D129" s="218"/>
      <c r="E129" s="5"/>
      <c r="F129" s="5"/>
      <c r="G129" s="5"/>
      <c r="H129" s="50" t="s">
        <v>6</v>
      </c>
      <c r="I129" s="50" t="s">
        <v>510</v>
      </c>
      <c r="J129" s="190">
        <v>0.11151672931315135</v>
      </c>
      <c r="K129" s="11"/>
      <c r="L129" s="559"/>
      <c r="M129" s="11"/>
    </row>
    <row r="130" spans="1:13" x14ac:dyDescent="0.3">
      <c r="A130" s="402"/>
      <c r="B130" s="73"/>
      <c r="C130" s="148"/>
      <c r="D130" s="148"/>
      <c r="E130" s="89"/>
      <c r="F130" s="89"/>
      <c r="G130" s="89"/>
      <c r="H130" s="54" t="s">
        <v>6</v>
      </c>
      <c r="I130" s="54" t="s">
        <v>511</v>
      </c>
      <c r="J130" s="259">
        <v>0.11151672931315135</v>
      </c>
      <c r="K130" s="73"/>
      <c r="L130" s="560"/>
      <c r="M130" s="73"/>
    </row>
    <row r="131" spans="1:13" s="42" customFormat="1" ht="43.5" customHeight="1" x14ac:dyDescent="0.3">
      <c r="A131" s="554" t="s">
        <v>717</v>
      </c>
      <c r="B131" s="50" t="s">
        <v>7</v>
      </c>
      <c r="C131" s="50" t="s">
        <v>385</v>
      </c>
      <c r="D131" s="51">
        <v>1</v>
      </c>
      <c r="E131" s="42" t="s">
        <v>3</v>
      </c>
      <c r="H131" s="50" t="s">
        <v>7</v>
      </c>
      <c r="I131" s="50" t="s">
        <v>385</v>
      </c>
      <c r="J131" s="51">
        <v>1</v>
      </c>
      <c r="K131" s="42" t="s">
        <v>3</v>
      </c>
      <c r="L131" s="50"/>
    </row>
    <row r="132" spans="1:13" s="15" customFormat="1" x14ac:dyDescent="0.3">
      <c r="A132" s="555"/>
      <c r="B132" s="16"/>
      <c r="D132" s="34"/>
      <c r="E132" s="16"/>
      <c r="F132" s="398"/>
      <c r="H132" s="16" t="s">
        <v>5</v>
      </c>
      <c r="I132" s="15" t="s">
        <v>643</v>
      </c>
      <c r="J132" s="34">
        <v>0.35099999999999998</v>
      </c>
      <c r="K132" s="16" t="s">
        <v>3</v>
      </c>
      <c r="L132" s="16" t="s">
        <v>986</v>
      </c>
    </row>
    <row r="133" spans="1:13" s="15" customFormat="1" x14ac:dyDescent="0.3">
      <c r="A133" s="555"/>
      <c r="B133" s="16"/>
      <c r="C133" s="167"/>
      <c r="D133" s="34"/>
      <c r="E133" s="16"/>
      <c r="F133" s="398"/>
      <c r="H133" s="16" t="s">
        <v>5</v>
      </c>
      <c r="I133" s="167" t="s">
        <v>274</v>
      </c>
      <c r="J133" s="34">
        <v>0.35099999999999998</v>
      </c>
      <c r="K133" s="16" t="s">
        <v>3</v>
      </c>
      <c r="L133" s="16" t="s">
        <v>986</v>
      </c>
    </row>
    <row r="134" spans="1:13" s="15" customFormat="1" x14ac:dyDescent="0.3">
      <c r="A134" s="555"/>
      <c r="B134" s="16"/>
      <c r="D134" s="19"/>
      <c r="E134" s="16"/>
      <c r="H134" s="16" t="s">
        <v>5</v>
      </c>
      <c r="I134" s="15" t="s">
        <v>25</v>
      </c>
      <c r="J134" s="19">
        <v>0.218</v>
      </c>
      <c r="K134" s="16" t="s">
        <v>3</v>
      </c>
      <c r="L134" s="16"/>
    </row>
    <row r="135" spans="1:13" s="15" customFormat="1" x14ac:dyDescent="0.3">
      <c r="A135" s="555"/>
      <c r="B135" s="16"/>
      <c r="D135" s="19"/>
      <c r="E135" s="16"/>
      <c r="H135" s="16" t="s">
        <v>5</v>
      </c>
      <c r="I135" s="15" t="s">
        <v>24</v>
      </c>
      <c r="J135" s="19">
        <v>1.44E-2</v>
      </c>
      <c r="K135" s="16" t="s">
        <v>3</v>
      </c>
      <c r="L135" s="16"/>
    </row>
    <row r="136" spans="1:13" s="15" customFormat="1" x14ac:dyDescent="0.3">
      <c r="A136" s="555"/>
      <c r="B136" s="16"/>
      <c r="D136" s="19"/>
      <c r="E136" s="16"/>
      <c r="H136" s="16" t="s">
        <v>5</v>
      </c>
      <c r="I136" s="15" t="s">
        <v>26</v>
      </c>
      <c r="J136" s="19">
        <v>2.6200000000000001E-2</v>
      </c>
      <c r="K136" s="16" t="s">
        <v>3</v>
      </c>
      <c r="L136" s="16"/>
    </row>
    <row r="137" spans="1:13" s="15" customFormat="1" x14ac:dyDescent="0.3">
      <c r="A137" s="555"/>
      <c r="B137" s="16"/>
      <c r="D137" s="19"/>
      <c r="E137" s="16"/>
      <c r="H137" s="16" t="s">
        <v>5</v>
      </c>
      <c r="I137" s="15" t="s">
        <v>27</v>
      </c>
      <c r="J137" s="19">
        <v>0.29099999999999998</v>
      </c>
      <c r="K137" s="16" t="s">
        <v>3</v>
      </c>
      <c r="L137" s="16"/>
    </row>
    <row r="138" spans="1:13" s="15" customFormat="1" x14ac:dyDescent="0.3">
      <c r="A138" s="555"/>
      <c r="B138" s="16"/>
      <c r="D138" s="19"/>
      <c r="E138" s="16"/>
      <c r="G138" s="396"/>
      <c r="H138" s="16" t="s">
        <v>5</v>
      </c>
      <c r="I138" s="15" t="s">
        <v>28</v>
      </c>
      <c r="J138" s="19">
        <v>0.192</v>
      </c>
      <c r="K138" s="16" t="s">
        <v>3</v>
      </c>
      <c r="L138" s="16"/>
    </row>
    <row r="139" spans="1:13" s="15" customFormat="1" x14ac:dyDescent="0.3">
      <c r="A139" s="555"/>
      <c r="B139" s="16"/>
      <c r="D139" s="19"/>
      <c r="E139" s="16"/>
      <c r="H139" s="16" t="s">
        <v>5</v>
      </c>
      <c r="I139" s="15" t="s">
        <v>16</v>
      </c>
      <c r="J139" s="19">
        <v>4.0000000000000001E-10</v>
      </c>
      <c r="K139" s="16" t="s">
        <v>22</v>
      </c>
      <c r="L139" s="16"/>
    </row>
    <row r="140" spans="1:13" s="15" customFormat="1" x14ac:dyDescent="0.3">
      <c r="A140" s="555"/>
      <c r="B140" s="16"/>
      <c r="D140" s="19"/>
      <c r="E140" s="16"/>
      <c r="H140" s="16" t="s">
        <v>5</v>
      </c>
      <c r="I140" s="15" t="s">
        <v>19</v>
      </c>
      <c r="J140" s="19">
        <v>2E-3</v>
      </c>
      <c r="K140" s="16" t="s">
        <v>4</v>
      </c>
      <c r="L140" s="16"/>
    </row>
    <row r="141" spans="1:13" s="15" customFormat="1" ht="14.55" customHeight="1" x14ac:dyDescent="0.3">
      <c r="A141" s="555"/>
      <c r="B141" s="16"/>
      <c r="D141" s="19"/>
      <c r="E141" s="16"/>
      <c r="G141" s="396"/>
      <c r="H141" s="16" t="s">
        <v>5</v>
      </c>
      <c r="I141" s="15" t="s">
        <v>20</v>
      </c>
      <c r="J141" s="19">
        <v>0.193</v>
      </c>
      <c r="K141" s="16" t="s">
        <v>21</v>
      </c>
      <c r="L141" s="16"/>
    </row>
    <row r="142" spans="1:13" s="15" customFormat="1" ht="14.55" customHeight="1" x14ac:dyDescent="0.3">
      <c r="A142" s="555"/>
      <c r="B142" s="16"/>
      <c r="D142" s="19"/>
      <c r="E142" s="16"/>
      <c r="H142" s="16" t="s">
        <v>5</v>
      </c>
      <c r="I142" s="15" t="s">
        <v>29</v>
      </c>
      <c r="J142" s="19">
        <v>-5.3900000000000003E-2</v>
      </c>
      <c r="K142" s="16" t="s">
        <v>3</v>
      </c>
      <c r="L142" s="16"/>
    </row>
    <row r="143" spans="1:13" s="55" customFormat="1" x14ac:dyDescent="0.3">
      <c r="A143" s="556"/>
      <c r="B143" s="54"/>
      <c r="D143" s="88"/>
      <c r="E143" s="54"/>
      <c r="H143" s="54" t="s">
        <v>6</v>
      </c>
      <c r="I143" s="55" t="s">
        <v>23</v>
      </c>
      <c r="J143" s="88">
        <v>1.44E-2</v>
      </c>
      <c r="K143" s="54" t="s">
        <v>3</v>
      </c>
      <c r="L143" s="54"/>
    </row>
    <row r="144" spans="1:13" ht="28.8" x14ac:dyDescent="0.3">
      <c r="A144" s="50"/>
      <c r="B144" s="42" t="s">
        <v>8</v>
      </c>
      <c r="C144" s="198">
        <f>C82</f>
        <v>0.15553017696851043</v>
      </c>
      <c r="D144" s="51"/>
      <c r="E144" s="50"/>
      <c r="F144" s="50" t="s">
        <v>562</v>
      </c>
      <c r="G144" s="50" t="s">
        <v>563</v>
      </c>
      <c r="H144" s="50"/>
      <c r="I144" s="5" t="s">
        <v>747</v>
      </c>
      <c r="J144" s="51">
        <v>1</v>
      </c>
      <c r="K144" s="42" t="s">
        <v>3</v>
      </c>
      <c r="L144" s="50"/>
    </row>
    <row r="145" spans="1:13" ht="33" customHeight="1" x14ac:dyDescent="0.3">
      <c r="A145" s="572" t="s">
        <v>603</v>
      </c>
      <c r="B145" s="18" t="s">
        <v>92</v>
      </c>
      <c r="C145" s="210"/>
      <c r="D145" s="24"/>
      <c r="E145" s="50"/>
      <c r="F145" s="25"/>
      <c r="G145" s="568" t="s">
        <v>922</v>
      </c>
      <c r="I145" s="16" t="s">
        <v>152</v>
      </c>
      <c r="J145" s="19">
        <v>0.91999999999999993</v>
      </c>
      <c r="K145" s="15" t="s">
        <v>3</v>
      </c>
    </row>
    <row r="146" spans="1:13" ht="26.55" customHeight="1" x14ac:dyDescent="0.3">
      <c r="A146" s="555"/>
      <c r="B146" s="15" t="s">
        <v>93</v>
      </c>
      <c r="C146" s="210"/>
      <c r="D146" s="24"/>
      <c r="E146" s="50"/>
      <c r="F146" s="25" t="s">
        <v>923</v>
      </c>
      <c r="G146" s="568"/>
      <c r="I146" s="16" t="s">
        <v>94</v>
      </c>
      <c r="J146" s="19">
        <v>3.002002857871194E-2</v>
      </c>
      <c r="K146" s="15" t="s">
        <v>3</v>
      </c>
    </row>
    <row r="147" spans="1:13" ht="27.45" customHeight="1" x14ac:dyDescent="0.3">
      <c r="A147" s="555"/>
      <c r="B147" s="15" t="s">
        <v>18</v>
      </c>
      <c r="C147" s="211"/>
      <c r="D147" s="24"/>
      <c r="E147" s="50"/>
      <c r="F147" s="25"/>
      <c r="G147" s="568"/>
      <c r="I147" s="16" t="s">
        <v>18</v>
      </c>
      <c r="J147" s="19">
        <v>0.01</v>
      </c>
      <c r="K147" s="15" t="s">
        <v>3</v>
      </c>
    </row>
    <row r="148" spans="1:13" ht="28.95" customHeight="1" x14ac:dyDescent="0.3">
      <c r="A148" s="555"/>
      <c r="B148" s="15" t="s">
        <v>52</v>
      </c>
      <c r="C148" s="211"/>
      <c r="D148" s="24"/>
      <c r="E148" s="50"/>
      <c r="F148" s="25" t="s">
        <v>923</v>
      </c>
      <c r="G148" s="568"/>
      <c r="I148" s="16" t="s">
        <v>51</v>
      </c>
      <c r="J148" s="19">
        <v>2.0013352385807964E-2</v>
      </c>
      <c r="K148" s="15" t="s">
        <v>3</v>
      </c>
    </row>
    <row r="149" spans="1:13" ht="28.8" x14ac:dyDescent="0.3">
      <c r="A149" s="555"/>
      <c r="B149" s="15" t="s">
        <v>17</v>
      </c>
      <c r="C149" s="34" t="s">
        <v>124</v>
      </c>
      <c r="E149" s="16" t="s">
        <v>148</v>
      </c>
      <c r="F149" s="16" t="s">
        <v>320</v>
      </c>
      <c r="G149" s="16" t="s">
        <v>321</v>
      </c>
      <c r="I149" s="16" t="s">
        <v>17</v>
      </c>
      <c r="J149" s="34">
        <f>IF(Si_coating=0,1,0.96)</f>
        <v>0.96</v>
      </c>
      <c r="K149" s="15" t="s">
        <v>3</v>
      </c>
    </row>
    <row r="150" spans="1:13" ht="86.4" x14ac:dyDescent="0.3">
      <c r="A150" s="555"/>
      <c r="B150" s="16" t="s">
        <v>303</v>
      </c>
      <c r="C150" s="34" t="s">
        <v>131</v>
      </c>
      <c r="E150" s="25" t="s">
        <v>132</v>
      </c>
      <c r="F150" s="16" t="s">
        <v>123</v>
      </c>
      <c r="G150" s="144" t="s">
        <v>780</v>
      </c>
      <c r="H150" s="16" t="s">
        <v>5</v>
      </c>
      <c r="I150" s="17" t="s">
        <v>755</v>
      </c>
      <c r="J150" s="171">
        <f>heat_drying_cathode*0.3</f>
        <v>8.4848739443431604</v>
      </c>
      <c r="K150" s="15" t="s">
        <v>21</v>
      </c>
      <c r="L150" s="16" t="s">
        <v>612</v>
      </c>
    </row>
    <row r="151" spans="1:13" ht="28.8" x14ac:dyDescent="0.3">
      <c r="A151" s="555"/>
      <c r="B151" s="25" t="s">
        <v>297</v>
      </c>
      <c r="C151" s="34">
        <f>SUM('info solvents'!G9,'info solvents'!G11,'info solvents'!G12)</f>
        <v>0.33099999999999996</v>
      </c>
      <c r="E151" s="16" t="s">
        <v>194</v>
      </c>
      <c r="F151" s="25" t="s">
        <v>299</v>
      </c>
      <c r="G151" s="82" t="s">
        <v>952</v>
      </c>
      <c r="H151" s="25" t="s">
        <v>5</v>
      </c>
      <c r="I151" s="25" t="s">
        <v>45</v>
      </c>
      <c r="J151" s="171">
        <f>C151/'info solvents'!$O$5*specific_energy_NMC811</f>
        <v>0.46810728671732227</v>
      </c>
      <c r="K151" s="28" t="s">
        <v>4</v>
      </c>
      <c r="L151" s="23" t="s">
        <v>300</v>
      </c>
    </row>
    <row r="152" spans="1:13" x14ac:dyDescent="0.3">
      <c r="A152" s="555"/>
      <c r="B152" s="28"/>
      <c r="C152" s="32"/>
      <c r="H152" s="16" t="s">
        <v>307</v>
      </c>
      <c r="I152" s="25" t="s">
        <v>985</v>
      </c>
      <c r="J152" s="32">
        <f>water_deionised/1000</f>
        <v>9.5999999999999992E-4</v>
      </c>
      <c r="K152" s="15" t="s">
        <v>55</v>
      </c>
      <c r="L152" s="16" t="s">
        <v>987</v>
      </c>
    </row>
    <row r="153" spans="1:13" ht="15" x14ac:dyDescent="0.3">
      <c r="A153" s="555"/>
      <c r="B153" s="28"/>
      <c r="C153" s="91"/>
      <c r="D153" s="91"/>
      <c r="E153" s="25"/>
      <c r="F153" s="25"/>
      <c r="G153" s="25"/>
      <c r="H153" s="25" t="s">
        <v>5</v>
      </c>
      <c r="I153" s="25" t="s">
        <v>16</v>
      </c>
      <c r="J153" s="91">
        <v>4.0000000000000001E-10</v>
      </c>
      <c r="K153" s="28" t="s">
        <v>22</v>
      </c>
      <c r="L153" s="316"/>
    </row>
    <row r="154" spans="1:13" ht="43.2" x14ac:dyDescent="0.3">
      <c r="A154" s="556"/>
      <c r="B154" s="55" t="s">
        <v>598</v>
      </c>
      <c r="C154" s="212">
        <f>D154*C144</f>
        <v>3.1106035393702086E-3</v>
      </c>
      <c r="D154" s="317">
        <v>0.02</v>
      </c>
      <c r="E154" s="54" t="s">
        <v>3</v>
      </c>
      <c r="F154" s="54" t="s">
        <v>656</v>
      </c>
      <c r="G154" s="63"/>
      <c r="H154" s="54" t="s">
        <v>5</v>
      </c>
      <c r="I154" s="55" t="s">
        <v>668</v>
      </c>
      <c r="J154" s="59">
        <f>D154</f>
        <v>0.02</v>
      </c>
      <c r="K154" s="55" t="s">
        <v>3</v>
      </c>
      <c r="L154" s="54"/>
    </row>
    <row r="155" spans="1:13" x14ac:dyDescent="0.3">
      <c r="A155" s="554" t="s">
        <v>597</v>
      </c>
      <c r="B155" s="56" t="s">
        <v>130</v>
      </c>
      <c r="C155" s="51">
        <v>14.83</v>
      </c>
      <c r="D155" s="191">
        <v>1</v>
      </c>
      <c r="E155" s="50" t="s">
        <v>3</v>
      </c>
      <c r="F155" s="50" t="s">
        <v>40</v>
      </c>
      <c r="G155" s="50"/>
      <c r="H155" s="16" t="s">
        <v>5</v>
      </c>
      <c r="I155" s="5" t="s">
        <v>748</v>
      </c>
      <c r="J155" s="137">
        <f>D155</f>
        <v>1</v>
      </c>
      <c r="K155" s="42" t="s">
        <v>3</v>
      </c>
      <c r="L155" s="50"/>
      <c r="M155" s="42"/>
    </row>
    <row r="156" spans="1:13" x14ac:dyDescent="0.3">
      <c r="A156" s="555"/>
      <c r="B156" s="56"/>
      <c r="C156" s="51"/>
      <c r="D156" s="191"/>
      <c r="E156" s="50"/>
      <c r="F156" s="50"/>
      <c r="G156" s="50"/>
      <c r="H156" s="16" t="s">
        <v>5</v>
      </c>
      <c r="I156" s="5" t="s">
        <v>53</v>
      </c>
      <c r="J156" s="137">
        <v>1</v>
      </c>
      <c r="K156" s="42" t="s">
        <v>3</v>
      </c>
      <c r="L156" s="50"/>
      <c r="M156" s="42"/>
    </row>
    <row r="157" spans="1:13" x14ac:dyDescent="0.3">
      <c r="A157" s="555"/>
      <c r="B157" s="18"/>
      <c r="H157" s="16" t="s">
        <v>5</v>
      </c>
      <c r="I157" s="50" t="s">
        <v>14</v>
      </c>
      <c r="J157" s="19">
        <f>J155</f>
        <v>1</v>
      </c>
      <c r="K157" s="15" t="s">
        <v>3</v>
      </c>
      <c r="M157" s="15"/>
    </row>
    <row r="158" spans="1:13" s="209" customFormat="1" x14ac:dyDescent="0.3">
      <c r="A158" s="555"/>
      <c r="B158" s="28"/>
      <c r="C158" s="190"/>
      <c r="D158" s="91"/>
      <c r="E158" s="25"/>
      <c r="F158" s="25"/>
      <c r="G158" s="25"/>
      <c r="H158" s="25" t="s">
        <v>307</v>
      </c>
      <c r="I158" s="25" t="s">
        <v>988</v>
      </c>
      <c r="J158" s="190">
        <f>SUM(J160:J161)</f>
        <v>0.53587786259541992</v>
      </c>
      <c r="K158" s="28" t="s">
        <v>3</v>
      </c>
      <c r="L158" s="25" t="s">
        <v>989</v>
      </c>
      <c r="M158" s="28"/>
    </row>
    <row r="159" spans="1:13" x14ac:dyDescent="0.3">
      <c r="A159" s="555"/>
      <c r="B159" s="220"/>
      <c r="C159" s="199"/>
      <c r="D159" s="147"/>
      <c r="E159" s="72"/>
      <c r="F159" s="72"/>
      <c r="G159" s="72"/>
      <c r="H159" s="72" t="s">
        <v>5</v>
      </c>
      <c r="I159" t="s">
        <v>381</v>
      </c>
      <c r="J159" s="199">
        <v>4.5800000000000002E-10</v>
      </c>
      <c r="K159" s="71" t="s">
        <v>22</v>
      </c>
      <c r="L159" s="139" t="s">
        <v>666</v>
      </c>
      <c r="M159" s="71"/>
    </row>
    <row r="160" spans="1:13" ht="28.8" x14ac:dyDescent="0.3">
      <c r="A160" s="555"/>
      <c r="H160" s="16" t="s">
        <v>5</v>
      </c>
      <c r="I160" s="72" t="s">
        <v>15</v>
      </c>
      <c r="J160" s="150">
        <f>J186</f>
        <v>0.33078880407124683</v>
      </c>
      <c r="K160" s="486" t="s">
        <v>3</v>
      </c>
      <c r="L160" s="477" t="s">
        <v>1020</v>
      </c>
      <c r="M160" s="76"/>
    </row>
    <row r="161" spans="1:13" ht="28.8" x14ac:dyDescent="0.3">
      <c r="A161" s="556"/>
      <c r="B161" s="54" t="s">
        <v>308</v>
      </c>
      <c r="C161" s="88"/>
      <c r="D161" s="88"/>
      <c r="E161" s="54"/>
      <c r="F161" s="54"/>
      <c r="G161" s="54"/>
      <c r="H161" s="54" t="s">
        <v>5</v>
      </c>
      <c r="I161" s="54" t="s">
        <v>158</v>
      </c>
      <c r="J161" s="260">
        <f>J187</f>
        <v>0.20508905852417303</v>
      </c>
      <c r="K161" s="55" t="s">
        <v>3</v>
      </c>
      <c r="L161" s="480" t="s">
        <v>1021</v>
      </c>
      <c r="M161" s="55"/>
    </row>
    <row r="162" spans="1:13" ht="72" x14ac:dyDescent="0.3">
      <c r="A162" s="552" t="s">
        <v>183</v>
      </c>
      <c r="B162" s="60" t="s">
        <v>92</v>
      </c>
      <c r="C162" s="51">
        <v>1</v>
      </c>
      <c r="D162" s="51"/>
      <c r="E162" s="50" t="s">
        <v>95</v>
      </c>
      <c r="F162" s="50"/>
      <c r="G162" s="50"/>
      <c r="H162" s="50"/>
      <c r="I162" s="50" t="s">
        <v>753</v>
      </c>
      <c r="J162" s="51">
        <v>1</v>
      </c>
      <c r="K162" s="42" t="s">
        <v>3</v>
      </c>
      <c r="L162" s="61" t="s">
        <v>905</v>
      </c>
    </row>
    <row r="163" spans="1:13" ht="28.8" x14ac:dyDescent="0.3">
      <c r="A163" s="553"/>
      <c r="B163" s="28" t="s">
        <v>150</v>
      </c>
      <c r="C163" s="34">
        <v>0.96</v>
      </c>
      <c r="E163" s="16" t="s">
        <v>95</v>
      </c>
      <c r="F163" s="16" t="s">
        <v>615</v>
      </c>
      <c r="H163" s="16" t="s">
        <v>5</v>
      </c>
      <c r="I163" s="25" t="s">
        <v>151</v>
      </c>
      <c r="J163" s="34">
        <v>0.96</v>
      </c>
      <c r="K163" s="15" t="s">
        <v>3</v>
      </c>
      <c r="L163" s="16" t="s">
        <v>185</v>
      </c>
    </row>
    <row r="164" spans="1:13" ht="43.2" x14ac:dyDescent="0.3">
      <c r="A164" s="553"/>
      <c r="B164" s="28" t="s">
        <v>56</v>
      </c>
      <c r="C164" s="34">
        <v>0.24</v>
      </c>
      <c r="E164" s="16" t="s">
        <v>95</v>
      </c>
      <c r="F164" s="16" t="s">
        <v>615</v>
      </c>
      <c r="H164" s="16" t="s">
        <v>5</v>
      </c>
      <c r="I164" s="16" t="s">
        <v>186</v>
      </c>
      <c r="J164" s="34">
        <f>C164</f>
        <v>0.24</v>
      </c>
      <c r="K164" s="15" t="s">
        <v>3</v>
      </c>
      <c r="L164" s="25" t="s">
        <v>187</v>
      </c>
    </row>
    <row r="165" spans="1:13" x14ac:dyDescent="0.3">
      <c r="A165" s="553"/>
      <c r="B165" s="28"/>
      <c r="H165" s="16" t="s">
        <v>1010</v>
      </c>
      <c r="I165" s="16" t="s">
        <v>1007</v>
      </c>
      <c r="J165" s="150">
        <f>J173 * (32/(32+12))</f>
        <v>0.31785890909090908</v>
      </c>
      <c r="K165" s="15" t="s">
        <v>3</v>
      </c>
      <c r="L165" s="25" t="s">
        <v>1009</v>
      </c>
    </row>
    <row r="166" spans="1:13" ht="72" x14ac:dyDescent="0.3">
      <c r="A166" s="553"/>
      <c r="B166" s="28" t="s">
        <v>96</v>
      </c>
      <c r="C166" s="34">
        <v>5.1479999999999997</v>
      </c>
      <c r="E166" s="16" t="s">
        <v>138</v>
      </c>
      <c r="F166" s="16" t="s">
        <v>615</v>
      </c>
      <c r="H166" s="16" t="s">
        <v>5</v>
      </c>
      <c r="I166" s="17" t="s">
        <v>754</v>
      </c>
      <c r="J166" s="19">
        <f>C166*mmBTU_to_MJ*10^(-3)</f>
        <v>5.4314282880000002</v>
      </c>
      <c r="K166" s="15" t="s">
        <v>21</v>
      </c>
      <c r="L166" s="16" t="s">
        <v>906</v>
      </c>
    </row>
    <row r="167" spans="1:13" ht="28.8" x14ac:dyDescent="0.3">
      <c r="A167" s="553"/>
      <c r="B167" s="28" t="s">
        <v>97</v>
      </c>
      <c r="C167" s="34">
        <v>13.93</v>
      </c>
      <c r="E167" s="16" t="s">
        <v>138</v>
      </c>
      <c r="F167" s="16" t="s">
        <v>615</v>
      </c>
      <c r="H167" s="16" t="s">
        <v>5</v>
      </c>
      <c r="I167" s="16" t="s">
        <v>45</v>
      </c>
      <c r="J167" s="19">
        <f>C167*mmBTU_to_MJ*MJ_to_kWh*10^(-3)</f>
        <v>4.0824838437622404</v>
      </c>
      <c r="K167" s="15" t="s">
        <v>4</v>
      </c>
      <c r="L167" s="16" t="s">
        <v>192</v>
      </c>
    </row>
    <row r="168" spans="1:13" ht="57.6" x14ac:dyDescent="0.3">
      <c r="A168" s="553"/>
      <c r="B168" s="28"/>
      <c r="H168" s="16" t="s">
        <v>5</v>
      </c>
      <c r="I168" s="16" t="s">
        <v>16</v>
      </c>
      <c r="J168" s="32">
        <v>4.0000000000000001E-10</v>
      </c>
      <c r="K168" s="15" t="s">
        <v>22</v>
      </c>
      <c r="L168" s="16" t="s">
        <v>1008</v>
      </c>
    </row>
    <row r="169" spans="1:13" ht="28.8" x14ac:dyDescent="0.3">
      <c r="A169" s="553"/>
      <c r="B169" s="28" t="s">
        <v>58</v>
      </c>
      <c r="C169" s="34">
        <v>9300</v>
      </c>
      <c r="E169" s="16" t="s">
        <v>137</v>
      </c>
      <c r="F169" s="16" t="s">
        <v>615</v>
      </c>
      <c r="H169" s="50" t="s">
        <v>164</v>
      </c>
      <c r="I169" s="16" t="s">
        <v>154</v>
      </c>
      <c r="J169" s="32">
        <f>C169*10^(-6)</f>
        <v>9.2999999999999992E-3</v>
      </c>
      <c r="K169" s="15" t="s">
        <v>3</v>
      </c>
      <c r="L169" s="568" t="s">
        <v>907</v>
      </c>
    </row>
    <row r="170" spans="1:13" ht="28.8" x14ac:dyDescent="0.3">
      <c r="A170" s="553"/>
      <c r="B170" s="28" t="s">
        <v>215</v>
      </c>
      <c r="C170" s="34">
        <v>2050.25</v>
      </c>
      <c r="E170" s="16" t="s">
        <v>137</v>
      </c>
      <c r="F170" s="16" t="s">
        <v>615</v>
      </c>
      <c r="H170" s="50" t="s">
        <v>164</v>
      </c>
      <c r="I170" s="15" t="s">
        <v>264</v>
      </c>
      <c r="J170" s="32">
        <f t="shared" ref="J170:J173" si="11">C170*10^(-6)</f>
        <v>2.05025E-3</v>
      </c>
      <c r="K170" s="15" t="s">
        <v>3</v>
      </c>
      <c r="L170" s="568"/>
    </row>
    <row r="171" spans="1:13" ht="28.8" x14ac:dyDescent="0.3">
      <c r="A171" s="553"/>
      <c r="B171" s="28" t="s">
        <v>214</v>
      </c>
      <c r="C171" s="34">
        <v>4100.5</v>
      </c>
      <c r="E171" s="16" t="s">
        <v>137</v>
      </c>
      <c r="F171" s="16" t="s">
        <v>615</v>
      </c>
      <c r="H171" s="50" t="s">
        <v>164</v>
      </c>
      <c r="I171" s="16" t="s">
        <v>191</v>
      </c>
      <c r="J171" s="32">
        <f t="shared" si="11"/>
        <v>4.1005E-3</v>
      </c>
      <c r="K171" s="15" t="s">
        <v>3</v>
      </c>
      <c r="L171" s="568"/>
    </row>
    <row r="172" spans="1:13" ht="28.8" x14ac:dyDescent="0.3">
      <c r="A172" s="553"/>
      <c r="B172" s="28" t="s">
        <v>57</v>
      </c>
      <c r="C172" s="34">
        <v>63812</v>
      </c>
      <c r="E172" s="16" t="s">
        <v>137</v>
      </c>
      <c r="F172" s="16" t="s">
        <v>615</v>
      </c>
      <c r="H172" s="50" t="s">
        <v>164</v>
      </c>
      <c r="I172" s="16" t="s">
        <v>190</v>
      </c>
      <c r="J172" s="32">
        <f t="shared" si="11"/>
        <v>6.3811999999999994E-2</v>
      </c>
      <c r="K172" s="15" t="s">
        <v>3</v>
      </c>
      <c r="L172" s="568"/>
    </row>
    <row r="173" spans="1:13" ht="27" customHeight="1" x14ac:dyDescent="0.3">
      <c r="A173" s="558"/>
      <c r="B173" s="118" t="s">
        <v>38</v>
      </c>
      <c r="C173" s="88">
        <v>437056</v>
      </c>
      <c r="D173" s="88"/>
      <c r="E173" s="54" t="s">
        <v>137</v>
      </c>
      <c r="F173" s="54" t="s">
        <v>615</v>
      </c>
      <c r="G173" s="54"/>
      <c r="H173" s="54" t="s">
        <v>164</v>
      </c>
      <c r="I173" s="54" t="s">
        <v>41</v>
      </c>
      <c r="J173" s="134">
        <f t="shared" si="11"/>
        <v>0.437056</v>
      </c>
      <c r="K173" s="55" t="s">
        <v>3</v>
      </c>
      <c r="L173" s="569"/>
    </row>
    <row r="174" spans="1:13" ht="14.55" customHeight="1" x14ac:dyDescent="0.3">
      <c r="A174" s="161"/>
      <c r="B174" s="60" t="s">
        <v>86</v>
      </c>
      <c r="C174" s="412">
        <f>C84</f>
        <v>0.26904141040851048</v>
      </c>
      <c r="D174" s="51"/>
      <c r="E174" s="50"/>
      <c r="F174" s="50"/>
      <c r="G174" s="50"/>
      <c r="H174" s="50"/>
      <c r="I174" s="50" t="s">
        <v>945</v>
      </c>
      <c r="J174" s="51">
        <v>1</v>
      </c>
      <c r="K174" s="42" t="s">
        <v>3</v>
      </c>
      <c r="L174" s="50"/>
    </row>
    <row r="175" spans="1:13" ht="28.95" customHeight="1" x14ac:dyDescent="0.3">
      <c r="A175" s="553" t="s">
        <v>87</v>
      </c>
      <c r="B175" s="15" t="s">
        <v>146</v>
      </c>
      <c r="C175" s="213">
        <v>0.222</v>
      </c>
      <c r="D175" s="318"/>
      <c r="F175" s="16" t="s">
        <v>376</v>
      </c>
      <c r="G175" s="564" t="s">
        <v>953</v>
      </c>
      <c r="H175" s="16" t="s">
        <v>5</v>
      </c>
      <c r="I175" s="16" t="s">
        <v>880</v>
      </c>
      <c r="J175" s="19">
        <v>0.95</v>
      </c>
      <c r="K175" s="15" t="s">
        <v>3</v>
      </c>
    </row>
    <row r="176" spans="1:13" ht="28.8" x14ac:dyDescent="0.3">
      <c r="A176" s="553"/>
      <c r="B176" s="15" t="s">
        <v>18</v>
      </c>
      <c r="C176" s="213">
        <v>1.20221276595745E-2</v>
      </c>
      <c r="D176" s="318"/>
      <c r="F176" s="16" t="s">
        <v>376</v>
      </c>
      <c r="G176" s="565"/>
      <c r="H176" s="16" t="s">
        <v>5</v>
      </c>
      <c r="I176" s="16" t="s">
        <v>18</v>
      </c>
      <c r="J176" s="19">
        <v>2.5000000000000001E-2</v>
      </c>
      <c r="K176" s="15" t="s">
        <v>3</v>
      </c>
      <c r="L176" s="434"/>
    </row>
    <row r="177" spans="1:13" ht="28.8" x14ac:dyDescent="0.3">
      <c r="A177" s="553"/>
      <c r="B177" s="15" t="s">
        <v>98</v>
      </c>
      <c r="C177" s="213">
        <v>1.6803094468085113E-2</v>
      </c>
      <c r="D177" s="318"/>
      <c r="F177" s="16" t="s">
        <v>376</v>
      </c>
      <c r="G177" s="566"/>
      <c r="H177" s="16" t="s">
        <v>5</v>
      </c>
      <c r="I177" s="25" t="s">
        <v>153</v>
      </c>
      <c r="J177" s="19">
        <v>2.5000000000000001E-2</v>
      </c>
      <c r="K177" s="15" t="s">
        <v>3</v>
      </c>
      <c r="L177" s="433" t="s">
        <v>908</v>
      </c>
    </row>
    <row r="178" spans="1:13" ht="28.8" x14ac:dyDescent="0.3">
      <c r="A178" s="553"/>
      <c r="B178" s="15" t="s">
        <v>145</v>
      </c>
      <c r="C178" s="21" t="s">
        <v>69</v>
      </c>
      <c r="G178" s="33"/>
      <c r="H178" s="16" t="s">
        <v>5</v>
      </c>
      <c r="I178" s="25" t="s">
        <v>134</v>
      </c>
      <c r="J178" s="223">
        <f>0.28*0.02</f>
        <v>5.6000000000000008E-3</v>
      </c>
      <c r="K178" s="15" t="s">
        <v>3</v>
      </c>
      <c r="L178" s="25" t="s">
        <v>1158</v>
      </c>
    </row>
    <row r="179" spans="1:13" ht="115.2" x14ac:dyDescent="0.3">
      <c r="A179" s="553"/>
      <c r="B179" s="16" t="s">
        <v>133</v>
      </c>
      <c r="C179" s="34" t="s">
        <v>131</v>
      </c>
      <c r="E179" s="25" t="s">
        <v>304</v>
      </c>
      <c r="F179" s="16" t="s">
        <v>123</v>
      </c>
      <c r="G179" s="144" t="s">
        <v>501</v>
      </c>
      <c r="H179" s="16" t="s">
        <v>5</v>
      </c>
      <c r="I179" s="17" t="s">
        <v>754</v>
      </c>
      <c r="J179" s="19">
        <f>(AVERAGE(56,71)*kWh_cell_NMC811)/J84</f>
        <v>28.282913147810536</v>
      </c>
      <c r="K179" s="28" t="s">
        <v>21</v>
      </c>
      <c r="L179" s="25" t="s">
        <v>938</v>
      </c>
    </row>
    <row r="180" spans="1:13" ht="28.8" x14ac:dyDescent="0.3">
      <c r="A180" s="553"/>
      <c r="B180" s="25" t="s">
        <v>297</v>
      </c>
      <c r="C180" s="91">
        <f>SUM('info solvents'!G5,'info solvents'!G7,'info solvents'!G8)</f>
        <v>0.33099999999999996</v>
      </c>
      <c r="D180" s="319"/>
      <c r="E180" s="25" t="s">
        <v>194</v>
      </c>
      <c r="F180" s="25" t="s">
        <v>299</v>
      </c>
      <c r="G180" s="82" t="s">
        <v>783</v>
      </c>
      <c r="H180" s="25" t="s">
        <v>5</v>
      </c>
      <c r="I180" s="25" t="s">
        <v>45</v>
      </c>
      <c r="J180" s="19">
        <f>C180/'info solvents'!$O$5*specific_energy_NMC811</f>
        <v>0.46810728671732227</v>
      </c>
      <c r="K180" s="28" t="s">
        <v>4</v>
      </c>
      <c r="L180" s="23" t="s">
        <v>386</v>
      </c>
    </row>
    <row r="181" spans="1:13" ht="28.8" x14ac:dyDescent="0.3">
      <c r="A181" s="553"/>
      <c r="B181" s="15" t="s">
        <v>135</v>
      </c>
      <c r="C181" s="34">
        <v>1</v>
      </c>
      <c r="E181" s="16" t="s">
        <v>125</v>
      </c>
      <c r="G181" s="31" t="s">
        <v>126</v>
      </c>
      <c r="H181" s="16" t="s">
        <v>164</v>
      </c>
      <c r="I181" s="25" t="s">
        <v>134</v>
      </c>
      <c r="J181" s="150">
        <f>NMP</f>
        <v>5.6000000000000008E-3</v>
      </c>
      <c r="K181" s="15" t="s">
        <v>3</v>
      </c>
      <c r="L181" s="20"/>
    </row>
    <row r="182" spans="1:13" s="4" customFormat="1" ht="15" x14ac:dyDescent="0.3">
      <c r="A182" s="406"/>
      <c r="B182" s="118"/>
      <c r="C182" s="78"/>
      <c r="D182" s="78"/>
      <c r="E182" s="63"/>
      <c r="F182" s="63"/>
      <c r="G182" s="63"/>
      <c r="H182" s="63" t="s">
        <v>5</v>
      </c>
      <c r="I182" s="63" t="s">
        <v>16</v>
      </c>
      <c r="J182" s="78">
        <v>4.0000000000000001E-10</v>
      </c>
      <c r="K182" s="118" t="s">
        <v>22</v>
      </c>
      <c r="L182" s="478"/>
    </row>
    <row r="183" spans="1:13" ht="15" x14ac:dyDescent="0.3">
      <c r="A183" s="554" t="s">
        <v>73</v>
      </c>
      <c r="B183" s="105" t="s">
        <v>757</v>
      </c>
      <c r="C183" s="276"/>
      <c r="D183" s="276"/>
      <c r="E183" s="140"/>
      <c r="F183" s="140"/>
      <c r="G183" s="140"/>
      <c r="H183" s="140" t="s">
        <v>7</v>
      </c>
      <c r="I183" s="140" t="s">
        <v>750</v>
      </c>
      <c r="J183" s="276">
        <v>1</v>
      </c>
      <c r="K183" s="105"/>
      <c r="L183" s="231"/>
      <c r="M183" s="105"/>
    </row>
    <row r="184" spans="1:13" ht="14.55" customHeight="1" x14ac:dyDescent="0.3">
      <c r="A184" s="555"/>
      <c r="B184" s="56"/>
      <c r="C184" s="51"/>
      <c r="D184" s="473"/>
      <c r="E184" s="50"/>
      <c r="F184" s="50" t="s">
        <v>40</v>
      </c>
      <c r="G184" s="50"/>
      <c r="H184" s="50" t="s">
        <v>5</v>
      </c>
      <c r="I184" s="50" t="s">
        <v>12</v>
      </c>
      <c r="J184" s="137">
        <v>1</v>
      </c>
      <c r="K184" s="42" t="s">
        <v>3</v>
      </c>
      <c r="L184" s="50"/>
      <c r="M184" s="42"/>
    </row>
    <row r="185" spans="1:13" x14ac:dyDescent="0.3">
      <c r="A185" s="555"/>
      <c r="H185" s="16" t="s">
        <v>5</v>
      </c>
      <c r="I185" s="16" t="s">
        <v>13</v>
      </c>
      <c r="J185" s="19">
        <f>J184</f>
        <v>1</v>
      </c>
      <c r="K185" s="15" t="s">
        <v>3</v>
      </c>
      <c r="M185" s="15"/>
    </row>
    <row r="186" spans="1:13" ht="72" x14ac:dyDescent="0.3">
      <c r="A186" s="555"/>
      <c r="H186" s="16" t="s">
        <v>5</v>
      </c>
      <c r="I186" s="72" t="s">
        <v>15</v>
      </c>
      <c r="J186" s="150">
        <f>0.13*J184/0.393</f>
        <v>0.33078880407124683</v>
      </c>
      <c r="K186" s="15" t="s">
        <v>3</v>
      </c>
      <c r="L186" s="139" t="s">
        <v>1092</v>
      </c>
      <c r="M186" s="15"/>
    </row>
    <row r="187" spans="1:13" s="209" customFormat="1" ht="72" x14ac:dyDescent="0.3">
      <c r="A187" s="555"/>
      <c r="B187" s="220"/>
      <c r="C187" s="189"/>
      <c r="D187" s="189"/>
      <c r="E187" s="139"/>
      <c r="F187" s="139"/>
      <c r="G187" s="139"/>
      <c r="H187" s="25" t="s">
        <v>5</v>
      </c>
      <c r="I187" s="139" t="s">
        <v>1022</v>
      </c>
      <c r="J187" s="474">
        <f>0.62*J186</f>
        <v>0.20508905852417303</v>
      </c>
      <c r="K187" s="475" t="s">
        <v>3</v>
      </c>
      <c r="L187" s="477" t="s">
        <v>990</v>
      </c>
      <c r="M187" s="476"/>
    </row>
    <row r="188" spans="1:13" x14ac:dyDescent="0.3">
      <c r="A188" s="555"/>
      <c r="B188" s="71"/>
      <c r="C188" s="147"/>
      <c r="D188" s="147"/>
      <c r="E188" s="72"/>
      <c r="F188" s="72"/>
      <c r="G188" s="72"/>
      <c r="H188" s="16" t="s">
        <v>5</v>
      </c>
      <c r="I188" s="72" t="s">
        <v>657</v>
      </c>
      <c r="J188" s="199">
        <v>1.5E-10</v>
      </c>
      <c r="K188" s="71" t="s">
        <v>22</v>
      </c>
      <c r="L188" s="140" t="s">
        <v>991</v>
      </c>
      <c r="M188" s="71"/>
    </row>
    <row r="189" spans="1:13" x14ac:dyDescent="0.3">
      <c r="A189" s="556"/>
      <c r="B189" s="118"/>
      <c r="C189" s="134"/>
      <c r="D189" s="88"/>
      <c r="E189" s="54"/>
      <c r="F189" s="54"/>
      <c r="G189" s="54"/>
      <c r="H189" s="54" t="s">
        <v>307</v>
      </c>
      <c r="I189" s="63" t="s">
        <v>988</v>
      </c>
      <c r="J189" s="259">
        <f>SUM(J187,J186)</f>
        <v>0.53587786259541992</v>
      </c>
      <c r="K189" s="55" t="s">
        <v>3</v>
      </c>
      <c r="L189" s="63" t="s">
        <v>989</v>
      </c>
      <c r="M189" s="55"/>
    </row>
    <row r="190" spans="1:13" ht="28.8" x14ac:dyDescent="0.3">
      <c r="A190" s="567" t="s">
        <v>924</v>
      </c>
      <c r="B190" s="42" t="s">
        <v>925</v>
      </c>
      <c r="C190" s="51">
        <v>1</v>
      </c>
      <c r="D190" s="51"/>
      <c r="E190" s="50" t="s">
        <v>3</v>
      </c>
      <c r="F190" s="50"/>
      <c r="G190" s="50"/>
      <c r="H190" s="321" t="s">
        <v>7</v>
      </c>
      <c r="I190" s="50" t="s">
        <v>880</v>
      </c>
      <c r="J190" s="51">
        <v>1</v>
      </c>
      <c r="K190" s="42" t="s">
        <v>3</v>
      </c>
      <c r="L190" s="61" t="s">
        <v>560</v>
      </c>
    </row>
    <row r="191" spans="1:13" ht="28.8" x14ac:dyDescent="0.3">
      <c r="A191" s="553"/>
      <c r="B191" s="15" t="s">
        <v>556</v>
      </c>
      <c r="C191" s="150">
        <v>0.94942382220211996</v>
      </c>
      <c r="E191" s="16" t="s">
        <v>3</v>
      </c>
      <c r="F191" s="16" t="s">
        <v>927</v>
      </c>
      <c r="H191" s="17" t="s">
        <v>5</v>
      </c>
      <c r="I191" s="16" t="s">
        <v>926</v>
      </c>
      <c r="J191" s="150">
        <f>C191</f>
        <v>0.94942382220211996</v>
      </c>
      <c r="K191" s="15" t="s">
        <v>3</v>
      </c>
    </row>
    <row r="192" spans="1:13" ht="28.8" x14ac:dyDescent="0.3">
      <c r="A192" s="553"/>
      <c r="B192" s="15" t="s">
        <v>555</v>
      </c>
      <c r="C192" s="150">
        <v>0.246199076881958</v>
      </c>
      <c r="E192" s="16" t="s">
        <v>3</v>
      </c>
      <c r="F192" s="16" t="s">
        <v>927</v>
      </c>
      <c r="H192" s="17" t="s">
        <v>5</v>
      </c>
      <c r="I192" s="16" t="s">
        <v>555</v>
      </c>
      <c r="J192" s="150">
        <f>C192</f>
        <v>0.246199076881958</v>
      </c>
      <c r="K192" s="15" t="s">
        <v>3</v>
      </c>
    </row>
    <row r="193" spans="1:12" ht="57.6" x14ac:dyDescent="0.3">
      <c r="A193" s="553"/>
      <c r="B193" s="15" t="s">
        <v>136</v>
      </c>
      <c r="C193" s="34">
        <v>24.765000000000001</v>
      </c>
      <c r="E193" s="16" t="s">
        <v>637</v>
      </c>
      <c r="F193" s="16" t="s">
        <v>636</v>
      </c>
      <c r="G193" s="16" t="s">
        <v>635</v>
      </c>
      <c r="H193" s="17" t="s">
        <v>5</v>
      </c>
      <c r="I193" s="16" t="s">
        <v>45</v>
      </c>
      <c r="J193" s="19">
        <f>C193*mmBTU_to_MJ*MJ_to_kWh/1000</f>
        <v>7.2579118729915209</v>
      </c>
      <c r="K193" s="15" t="s">
        <v>4</v>
      </c>
      <c r="L193" s="25" t="s">
        <v>634</v>
      </c>
    </row>
    <row r="194" spans="1:12" x14ac:dyDescent="0.3">
      <c r="A194" s="553"/>
      <c r="H194" s="17" t="s">
        <v>5</v>
      </c>
      <c r="I194" s="16" t="s">
        <v>16</v>
      </c>
      <c r="J194" s="32">
        <f>1/(27000*10^(3)*50)</f>
        <v>7.4074074074074071E-10</v>
      </c>
      <c r="K194" s="15" t="s">
        <v>22</v>
      </c>
      <c r="L194" s="25" t="s">
        <v>663</v>
      </c>
    </row>
    <row r="195" spans="1:12" ht="28.8" x14ac:dyDescent="0.3">
      <c r="A195" s="553"/>
      <c r="B195" s="15" t="s">
        <v>38</v>
      </c>
      <c r="C195" s="21" t="s">
        <v>69</v>
      </c>
      <c r="E195" s="16" t="s">
        <v>137</v>
      </c>
      <c r="F195" s="16" t="s">
        <v>540</v>
      </c>
      <c r="G195" s="16" t="s">
        <v>557</v>
      </c>
      <c r="H195" s="16" t="s">
        <v>164</v>
      </c>
      <c r="I195" s="16" t="s">
        <v>41</v>
      </c>
      <c r="J195" s="169" t="s">
        <v>69</v>
      </c>
      <c r="K195" s="15" t="s">
        <v>3</v>
      </c>
      <c r="L195" s="20"/>
    </row>
    <row r="196" spans="1:12" ht="28.8" x14ac:dyDescent="0.3">
      <c r="A196" s="558"/>
      <c r="B196" s="55" t="s">
        <v>144</v>
      </c>
      <c r="C196" s="62" t="s">
        <v>69</v>
      </c>
      <c r="D196" s="88"/>
      <c r="E196" s="54"/>
      <c r="F196" s="54"/>
      <c r="G196" s="54" t="s">
        <v>559</v>
      </c>
      <c r="H196" s="54" t="s">
        <v>164</v>
      </c>
      <c r="I196" s="63" t="s">
        <v>32</v>
      </c>
      <c r="J196" s="259">
        <f>(SUM($J$191:$J$192)-SUM($J$190,J195))/1000</f>
        <v>1.9562289908407803E-4</v>
      </c>
      <c r="K196" s="118" t="s">
        <v>55</v>
      </c>
      <c r="L196" s="63" t="s">
        <v>625</v>
      </c>
    </row>
    <row r="197" spans="1:12" ht="44.4" x14ac:dyDescent="0.3">
      <c r="A197" s="567" t="s">
        <v>99</v>
      </c>
      <c r="B197" s="42" t="s">
        <v>928</v>
      </c>
      <c r="C197" s="51">
        <v>1</v>
      </c>
      <c r="D197" s="51"/>
      <c r="E197" s="50" t="s">
        <v>3</v>
      </c>
      <c r="F197" s="50"/>
      <c r="G197" s="50"/>
      <c r="H197" s="321" t="s">
        <v>7</v>
      </c>
      <c r="I197" s="50" t="s">
        <v>926</v>
      </c>
      <c r="J197" s="51">
        <v>1</v>
      </c>
      <c r="K197" s="42" t="s">
        <v>3</v>
      </c>
      <c r="L197" s="50" t="s">
        <v>316</v>
      </c>
    </row>
    <row r="198" spans="1:12" ht="28.8" x14ac:dyDescent="0.3">
      <c r="A198" s="553"/>
      <c r="B198" s="15" t="s">
        <v>539</v>
      </c>
      <c r="C198" s="19">
        <v>1.3404216156519699</v>
      </c>
      <c r="E198" s="16" t="s">
        <v>3</v>
      </c>
      <c r="F198" s="16" t="s">
        <v>927</v>
      </c>
      <c r="H198" s="17" t="s">
        <v>5</v>
      </c>
      <c r="I198" s="16" t="s">
        <v>46</v>
      </c>
      <c r="J198" s="19">
        <f>C198</f>
        <v>1.3404216156519699</v>
      </c>
      <c r="K198" s="15" t="s">
        <v>3</v>
      </c>
    </row>
    <row r="199" spans="1:12" ht="28.8" x14ac:dyDescent="0.3">
      <c r="A199" s="553"/>
      <c r="B199" s="15" t="s">
        <v>33</v>
      </c>
      <c r="C199" s="19">
        <v>0.16349245877499799</v>
      </c>
      <c r="E199" s="16" t="s">
        <v>3</v>
      </c>
      <c r="F199" s="16" t="s">
        <v>927</v>
      </c>
      <c r="H199" s="17" t="s">
        <v>5</v>
      </c>
      <c r="I199" s="16" t="s">
        <v>47</v>
      </c>
      <c r="J199" s="19">
        <f t="shared" ref="J199:J201" si="12">C199</f>
        <v>0.16349245877499799</v>
      </c>
      <c r="K199" s="15" t="s">
        <v>3</v>
      </c>
    </row>
    <row r="200" spans="1:12" ht="28.8" x14ac:dyDescent="0.3">
      <c r="A200" s="553"/>
      <c r="B200" s="15" t="s">
        <v>34</v>
      </c>
      <c r="C200" s="19">
        <v>0.16781255752011201</v>
      </c>
      <c r="E200" s="16" t="s">
        <v>3</v>
      </c>
      <c r="F200" s="16" t="s">
        <v>927</v>
      </c>
      <c r="H200" s="17" t="s">
        <v>5</v>
      </c>
      <c r="I200" s="16" t="s">
        <v>48</v>
      </c>
      <c r="J200" s="19">
        <f t="shared" si="12"/>
        <v>0.16781255752011201</v>
      </c>
      <c r="K200" s="15" t="s">
        <v>3</v>
      </c>
    </row>
    <row r="201" spans="1:12" ht="28.8" x14ac:dyDescent="0.3">
      <c r="A201" s="553"/>
      <c r="B201" s="15" t="s">
        <v>35</v>
      </c>
      <c r="C201" s="19">
        <v>0.88953599999999999</v>
      </c>
      <c r="E201" s="16" t="s">
        <v>3</v>
      </c>
      <c r="F201" s="16" t="s">
        <v>929</v>
      </c>
      <c r="H201" s="17" t="s">
        <v>5</v>
      </c>
      <c r="I201" s="16" t="s">
        <v>15</v>
      </c>
      <c r="J201" s="19">
        <f t="shared" si="12"/>
        <v>0.88953599999999999</v>
      </c>
      <c r="K201" s="15" t="s">
        <v>3</v>
      </c>
    </row>
    <row r="202" spans="1:12" ht="129.6" x14ac:dyDescent="0.3">
      <c r="A202" s="553"/>
      <c r="B202" s="15" t="s">
        <v>218</v>
      </c>
      <c r="C202" s="19">
        <v>0.123529411764706</v>
      </c>
      <c r="E202" s="16" t="s">
        <v>3</v>
      </c>
      <c r="F202" s="16" t="s">
        <v>927</v>
      </c>
      <c r="G202" s="16" t="s">
        <v>785</v>
      </c>
      <c r="H202" s="17" t="s">
        <v>5</v>
      </c>
      <c r="I202" s="16" t="s">
        <v>219</v>
      </c>
      <c r="J202" s="32">
        <f>C202*0.49*0.1</f>
        <v>6.0529411764705943E-3</v>
      </c>
      <c r="K202" s="15" t="s">
        <v>3</v>
      </c>
      <c r="L202" s="16" t="s">
        <v>1014</v>
      </c>
    </row>
    <row r="203" spans="1:12" x14ac:dyDescent="0.3">
      <c r="A203" s="553"/>
      <c r="C203" s="19"/>
      <c r="H203" s="17" t="s">
        <v>6</v>
      </c>
      <c r="I203" s="16" t="s">
        <v>220</v>
      </c>
      <c r="J203" s="32">
        <f>ammonia_liquid_cathode_precursor</f>
        <v>6.0529411764705943E-3</v>
      </c>
      <c r="K203" s="15" t="s">
        <v>3</v>
      </c>
      <c r="L203" s="16" t="s">
        <v>1013</v>
      </c>
    </row>
    <row r="204" spans="1:12" ht="72" x14ac:dyDescent="0.3">
      <c r="A204" s="553"/>
      <c r="B204" s="16" t="s">
        <v>930</v>
      </c>
      <c r="C204" s="34">
        <v>38.618000000000002</v>
      </c>
      <c r="E204" s="16" t="s">
        <v>631</v>
      </c>
      <c r="F204" s="16" t="s">
        <v>636</v>
      </c>
      <c r="G204" s="16" t="s">
        <v>639</v>
      </c>
      <c r="H204" s="17" t="s">
        <v>5</v>
      </c>
      <c r="I204" s="17" t="s">
        <v>754</v>
      </c>
      <c r="J204" s="19">
        <f>C204*mmBTU_to_MJ/1000</f>
        <v>40.744152608000007</v>
      </c>
      <c r="K204" s="15" t="s">
        <v>21</v>
      </c>
      <c r="L204" s="16" t="s">
        <v>558</v>
      </c>
    </row>
    <row r="205" spans="1:12" ht="28.8" x14ac:dyDescent="0.3">
      <c r="A205" s="553"/>
      <c r="B205" s="25" t="s">
        <v>143</v>
      </c>
      <c r="C205" s="21" t="s">
        <v>69</v>
      </c>
      <c r="G205" s="16" t="s">
        <v>632</v>
      </c>
      <c r="H205" s="17"/>
      <c r="I205" s="25"/>
      <c r="J205" s="21" t="s">
        <v>69</v>
      </c>
      <c r="K205" s="22" t="s">
        <v>69</v>
      </c>
    </row>
    <row r="206" spans="1:12" ht="72" x14ac:dyDescent="0.3">
      <c r="A206" s="553"/>
      <c r="B206" s="15" t="s">
        <v>39</v>
      </c>
      <c r="C206" s="19">
        <v>168.62310984308101</v>
      </c>
      <c r="E206" s="16" t="s">
        <v>42</v>
      </c>
      <c r="F206" s="16" t="s">
        <v>616</v>
      </c>
      <c r="G206" s="25" t="s">
        <v>958</v>
      </c>
      <c r="H206" s="25" t="s">
        <v>36</v>
      </c>
      <c r="I206" s="16" t="s">
        <v>161</v>
      </c>
      <c r="J206" s="135">
        <f>C206*gal_to_kg*10^(-6)</f>
        <v>6.3823847075606169E-4</v>
      </c>
      <c r="K206" s="15" t="s">
        <v>55</v>
      </c>
      <c r="L206" s="16" t="s">
        <v>910</v>
      </c>
    </row>
    <row r="207" spans="1:12" ht="28.8" x14ac:dyDescent="0.3">
      <c r="A207" s="572"/>
      <c r="B207" s="25"/>
      <c r="C207" s="21"/>
      <c r="H207" s="17" t="s">
        <v>5</v>
      </c>
      <c r="I207" s="25" t="s">
        <v>16</v>
      </c>
      <c r="J207" s="263">
        <f>1/(27000*10^(3)*50)</f>
        <v>7.4074074074074071E-10</v>
      </c>
      <c r="K207" s="22" t="s">
        <v>22</v>
      </c>
      <c r="L207" s="16" t="s">
        <v>659</v>
      </c>
    </row>
    <row r="208" spans="1:12" ht="115.2" x14ac:dyDescent="0.3">
      <c r="A208" s="572"/>
      <c r="B208" s="28" t="s">
        <v>141</v>
      </c>
      <c r="F208" s="16" t="s">
        <v>198</v>
      </c>
      <c r="H208" s="16" t="s">
        <v>307</v>
      </c>
      <c r="I208" s="16" t="s">
        <v>1016</v>
      </c>
      <c r="J208" s="264">
        <f>SUM(J198:J201)-J197</f>
        <v>1.5612626319470797</v>
      </c>
      <c r="K208" s="15" t="s">
        <v>3</v>
      </c>
      <c r="L208" s="25" t="s">
        <v>939</v>
      </c>
    </row>
    <row r="209" spans="1:13" ht="28.8" x14ac:dyDescent="0.3">
      <c r="A209" s="558"/>
      <c r="B209" s="55"/>
      <c r="C209" s="59"/>
      <c r="D209" s="88"/>
      <c r="E209" s="54"/>
      <c r="F209" s="54"/>
      <c r="G209" s="63"/>
      <c r="H209" s="63" t="s">
        <v>307</v>
      </c>
      <c r="I209" s="54" t="s">
        <v>54</v>
      </c>
      <c r="J209" s="173">
        <f>water_cathode_precursor</f>
        <v>6.3823847075606169E-4</v>
      </c>
      <c r="K209" s="55" t="s">
        <v>55</v>
      </c>
      <c r="L209" s="54" t="s">
        <v>419</v>
      </c>
    </row>
    <row r="210" spans="1:13" ht="43.5" customHeight="1" x14ac:dyDescent="0.3">
      <c r="A210" s="554" t="s">
        <v>996</v>
      </c>
      <c r="B210" s="64" t="s">
        <v>201</v>
      </c>
      <c r="C210" s="97">
        <v>1</v>
      </c>
      <c r="D210" s="320"/>
      <c r="E210" s="64" t="s">
        <v>95</v>
      </c>
      <c r="F210" s="50" t="s">
        <v>644</v>
      </c>
      <c r="G210" s="50"/>
      <c r="H210" s="321" t="s">
        <v>7</v>
      </c>
      <c r="I210" s="50" t="s">
        <v>48</v>
      </c>
      <c r="J210" s="51">
        <f t="shared" ref="J210" si="13">C210</f>
        <v>1</v>
      </c>
      <c r="K210" s="42" t="s">
        <v>3</v>
      </c>
      <c r="L210" s="50" t="s">
        <v>1000</v>
      </c>
      <c r="M210" s="42"/>
    </row>
    <row r="211" spans="1:13" ht="43.2" x14ac:dyDescent="0.3">
      <c r="A211" s="555"/>
      <c r="B211" s="119" t="s">
        <v>764</v>
      </c>
      <c r="C211" s="98">
        <v>2.86</v>
      </c>
      <c r="D211" s="322"/>
      <c r="E211" s="120" t="s">
        <v>646</v>
      </c>
      <c r="F211" s="50" t="s">
        <v>645</v>
      </c>
      <c r="H211" s="39" t="s">
        <v>5</v>
      </c>
      <c r="I211" s="16" t="s">
        <v>763</v>
      </c>
      <c r="J211" s="256">
        <f>C211*(58.933/154.996)*(92.926/154.996)</f>
        <v>0.65195984098445203</v>
      </c>
      <c r="K211" s="15" t="s">
        <v>3</v>
      </c>
      <c r="L211" s="16" t="s">
        <v>1001</v>
      </c>
      <c r="M211" s="15"/>
    </row>
    <row r="212" spans="1:13" ht="27.45" customHeight="1" x14ac:dyDescent="0.3">
      <c r="A212" s="555"/>
      <c r="B212" s="36" t="s">
        <v>224</v>
      </c>
      <c r="C212" s="99">
        <v>2.57</v>
      </c>
      <c r="D212" s="322"/>
      <c r="E212" s="120" t="s">
        <v>646</v>
      </c>
      <c r="F212" s="50" t="s">
        <v>644</v>
      </c>
      <c r="G212" s="15"/>
      <c r="H212" s="39" t="s">
        <v>5</v>
      </c>
      <c r="I212" s="16" t="s">
        <v>158</v>
      </c>
      <c r="J212" s="34">
        <f>C212*(58.933/154.996)</f>
        <v>0.97717237864202933</v>
      </c>
      <c r="K212" s="15" t="s">
        <v>3</v>
      </c>
      <c r="L212" s="13"/>
    </row>
    <row r="213" spans="1:13" ht="43.2" x14ac:dyDescent="0.3">
      <c r="A213" s="555"/>
      <c r="B213" s="36" t="s">
        <v>206</v>
      </c>
      <c r="C213" s="99">
        <v>0.06</v>
      </c>
      <c r="D213" s="322"/>
      <c r="E213" s="120" t="s">
        <v>646</v>
      </c>
      <c r="F213" s="50" t="s">
        <v>644</v>
      </c>
      <c r="H213" s="39" t="s">
        <v>5</v>
      </c>
      <c r="I213" s="39" t="s">
        <v>369</v>
      </c>
      <c r="J213" s="256">
        <f>C213*(58.933/154.996)</f>
        <v>2.2813362925494848E-2</v>
      </c>
      <c r="K213" s="15" t="s">
        <v>3</v>
      </c>
      <c r="L213" s="537"/>
      <c r="M213" s="15"/>
    </row>
    <row r="214" spans="1:13" ht="43.2" x14ac:dyDescent="0.3">
      <c r="A214" s="555"/>
      <c r="B214" s="36" t="s">
        <v>225</v>
      </c>
      <c r="C214" s="99">
        <v>1.409</v>
      </c>
      <c r="D214" s="322"/>
      <c r="E214" s="120" t="s">
        <v>646</v>
      </c>
      <c r="F214" s="50" t="s">
        <v>644</v>
      </c>
      <c r="G214" s="15"/>
      <c r="H214" s="39" t="s">
        <v>5</v>
      </c>
      <c r="I214" s="16" t="s">
        <v>233</v>
      </c>
      <c r="J214" s="34">
        <f>C214*(58.933/154.996)</f>
        <v>0.53573380603370402</v>
      </c>
      <c r="K214" s="15" t="s">
        <v>3</v>
      </c>
      <c r="M214" s="15"/>
    </row>
    <row r="215" spans="1:13" ht="43.2" x14ac:dyDescent="0.3">
      <c r="A215" s="555"/>
      <c r="B215" s="36" t="s">
        <v>205</v>
      </c>
      <c r="C215" s="471">
        <v>4.7E-2</v>
      </c>
      <c r="D215" s="322"/>
      <c r="E215" s="120" t="s">
        <v>646</v>
      </c>
      <c r="F215" s="50" t="s">
        <v>644</v>
      </c>
      <c r="G215" s="15"/>
      <c r="H215" s="39" t="s">
        <v>5</v>
      </c>
      <c r="I215" s="16" t="s">
        <v>221</v>
      </c>
      <c r="J215" s="34">
        <f>C215*(58.933/154.996)</f>
        <v>1.7870467624970965E-2</v>
      </c>
      <c r="K215" s="15" t="s">
        <v>3</v>
      </c>
      <c r="M215" s="15"/>
    </row>
    <row r="216" spans="1:13" ht="43.2" x14ac:dyDescent="0.3">
      <c r="A216" s="555"/>
      <c r="B216" s="36" t="s">
        <v>226</v>
      </c>
      <c r="C216" s="99">
        <v>0.08</v>
      </c>
      <c r="D216" s="322"/>
      <c r="E216" s="120" t="s">
        <v>646</v>
      </c>
      <c r="F216" s="50" t="s">
        <v>644</v>
      </c>
      <c r="G216" s="16" t="s">
        <v>787</v>
      </c>
      <c r="H216" s="39" t="s">
        <v>5</v>
      </c>
      <c r="I216" s="16" t="s">
        <v>765</v>
      </c>
      <c r="J216" s="34">
        <f>C216*(58.933/154.996)</f>
        <v>3.0417817233993134E-2</v>
      </c>
      <c r="K216" s="15" t="s">
        <v>3</v>
      </c>
      <c r="M216" s="15"/>
    </row>
    <row r="217" spans="1:13" ht="28.8" x14ac:dyDescent="0.3">
      <c r="A217" s="555"/>
      <c r="B217" s="323" t="s">
        <v>204</v>
      </c>
      <c r="C217" s="324">
        <v>13092</v>
      </c>
      <c r="D217" s="322"/>
      <c r="E217" s="92" t="s">
        <v>647</v>
      </c>
      <c r="F217" s="50" t="s">
        <v>644</v>
      </c>
      <c r="G217" s="15"/>
      <c r="H217" s="25" t="s">
        <v>36</v>
      </c>
      <c r="I217" s="16" t="s">
        <v>161</v>
      </c>
      <c r="J217" s="34">
        <f>C217*(58.933/154.996)*gal_to_kg*10^(-6)</f>
        <v>1.8841259866448162E-2</v>
      </c>
      <c r="K217" s="15" t="s">
        <v>55</v>
      </c>
      <c r="L217" s="16" t="s">
        <v>998</v>
      </c>
      <c r="M217" s="15"/>
    </row>
    <row r="218" spans="1:13" ht="43.2" x14ac:dyDescent="0.3">
      <c r="A218" s="555"/>
      <c r="B218" s="325" t="s">
        <v>203</v>
      </c>
      <c r="C218" s="326">
        <v>26.838000000000001</v>
      </c>
      <c r="D218" s="327"/>
      <c r="E218" s="328" t="s">
        <v>648</v>
      </c>
      <c r="F218" s="121" t="s">
        <v>644</v>
      </c>
      <c r="G218" s="71"/>
      <c r="H218" s="329" t="s">
        <v>5</v>
      </c>
      <c r="I218" s="72" t="s">
        <v>512</v>
      </c>
      <c r="J218" s="265">
        <f>C218*(58.93/154.95)*mmBTU_to_MJ/1000</f>
        <v>10.768879582104164</v>
      </c>
      <c r="K218" s="71" t="s">
        <v>21</v>
      </c>
      <c r="L218" s="72"/>
      <c r="M218" s="71"/>
    </row>
    <row r="219" spans="1:13" ht="43.2" x14ac:dyDescent="0.3">
      <c r="A219" s="555"/>
      <c r="B219" s="330" t="s">
        <v>202</v>
      </c>
      <c r="C219" s="331">
        <v>10.34</v>
      </c>
      <c r="D219" s="332"/>
      <c r="E219" s="333" t="s">
        <v>648</v>
      </c>
      <c r="F219" s="5" t="s">
        <v>644</v>
      </c>
      <c r="G219" s="11"/>
      <c r="H219" s="334" t="s">
        <v>5</v>
      </c>
      <c r="I219" s="5" t="s">
        <v>45</v>
      </c>
      <c r="J219" s="254">
        <f>C219*(58.933/154.996)*mmBTU_to_MJ*MJ_to_kWh/1000</f>
        <v>1.1522108384115171</v>
      </c>
      <c r="K219" s="11" t="s">
        <v>4</v>
      </c>
      <c r="L219" s="5" t="s">
        <v>231</v>
      </c>
      <c r="M219" s="11"/>
    </row>
    <row r="220" spans="1:13" ht="15" x14ac:dyDescent="0.3">
      <c r="A220" s="555"/>
      <c r="B220" s="330"/>
      <c r="C220" s="331"/>
      <c r="D220" s="332"/>
      <c r="E220" s="333"/>
      <c r="F220" s="5"/>
      <c r="G220" s="11"/>
      <c r="H220" s="472" t="s">
        <v>307</v>
      </c>
      <c r="I220" s="5" t="s">
        <v>54</v>
      </c>
      <c r="J220" s="254">
        <f>J217</f>
        <v>1.8841259866448162E-2</v>
      </c>
      <c r="K220" s="11" t="s">
        <v>55</v>
      </c>
      <c r="L220" s="5" t="s">
        <v>997</v>
      </c>
      <c r="M220" s="11"/>
    </row>
    <row r="221" spans="1:13" ht="28.8" x14ac:dyDescent="0.3">
      <c r="A221" s="555"/>
      <c r="B221" s="330"/>
      <c r="C221" s="331"/>
      <c r="D221" s="332"/>
      <c r="E221" s="333"/>
      <c r="F221" s="5"/>
      <c r="G221" s="11"/>
      <c r="H221" s="472" t="s">
        <v>6</v>
      </c>
      <c r="I221" s="5" t="s">
        <v>983</v>
      </c>
      <c r="J221" s="10">
        <f>((2*18.015)/154.996)/1000</f>
        <v>2.3245761180933698E-4</v>
      </c>
      <c r="K221" s="11" t="s">
        <v>55</v>
      </c>
      <c r="L221" s="5" t="s">
        <v>1005</v>
      </c>
      <c r="M221" s="11"/>
    </row>
    <row r="222" spans="1:13" ht="15" x14ac:dyDescent="0.3">
      <c r="A222" s="555"/>
      <c r="B222" s="330"/>
      <c r="C222" s="331"/>
      <c r="D222" s="332"/>
      <c r="E222" s="333"/>
      <c r="F222" s="5"/>
      <c r="G222" s="11"/>
      <c r="H222" s="472" t="s">
        <v>307</v>
      </c>
      <c r="I222" s="5" t="s">
        <v>984</v>
      </c>
      <c r="J222" s="253">
        <f>SUM(J211:J216)-J210-J221*1000</f>
        <v>1.0035100616353074</v>
      </c>
      <c r="K222" s="11" t="s">
        <v>3</v>
      </c>
      <c r="L222" s="5" t="s">
        <v>1006</v>
      </c>
      <c r="M222" s="11"/>
    </row>
    <row r="223" spans="1:13" ht="57.6" x14ac:dyDescent="0.3">
      <c r="A223" s="556"/>
      <c r="B223" s="130"/>
      <c r="C223" s="205"/>
      <c r="D223" s="205"/>
      <c r="E223" s="278"/>
      <c r="F223" s="278"/>
      <c r="G223" s="278"/>
      <c r="H223" s="278" t="s">
        <v>5</v>
      </c>
      <c r="I223" s="278" t="s">
        <v>16</v>
      </c>
      <c r="J223" s="205">
        <v>4.0000000000000001E-10</v>
      </c>
      <c r="K223" s="130" t="s">
        <v>22</v>
      </c>
      <c r="L223" s="278" t="s">
        <v>1004</v>
      </c>
      <c r="M223" s="130"/>
    </row>
    <row r="224" spans="1:13" ht="43.2" x14ac:dyDescent="0.3">
      <c r="A224" s="552" t="s">
        <v>240</v>
      </c>
      <c r="B224" s="65" t="s">
        <v>209</v>
      </c>
      <c r="C224" s="100">
        <v>1</v>
      </c>
      <c r="D224" s="51"/>
      <c r="E224" s="93" t="s">
        <v>3</v>
      </c>
      <c r="F224" s="50" t="s">
        <v>601</v>
      </c>
      <c r="G224" s="50"/>
      <c r="H224" s="321" t="s">
        <v>7</v>
      </c>
      <c r="I224" s="50" t="s">
        <v>232</v>
      </c>
      <c r="J224" s="137">
        <v>1</v>
      </c>
      <c r="K224" s="66" t="s">
        <v>3</v>
      </c>
      <c r="L224" s="50"/>
    </row>
    <row r="225" spans="1:12" ht="43.2" x14ac:dyDescent="0.3">
      <c r="A225" s="553"/>
      <c r="B225" s="37" t="s">
        <v>766</v>
      </c>
      <c r="C225" s="101">
        <v>130</v>
      </c>
      <c r="E225" s="94" t="s">
        <v>3</v>
      </c>
      <c r="F225" s="50" t="s">
        <v>601</v>
      </c>
      <c r="H225" s="39" t="s">
        <v>5</v>
      </c>
      <c r="I225" s="16" t="s">
        <v>606</v>
      </c>
      <c r="J225" s="19">
        <f t="shared" ref="J225:J230" si="14">C225</f>
        <v>130</v>
      </c>
      <c r="K225" s="38" t="s">
        <v>3</v>
      </c>
      <c r="L225" s="13"/>
    </row>
    <row r="226" spans="1:12" ht="43.2" x14ac:dyDescent="0.3">
      <c r="A226" s="553"/>
      <c r="B226" s="37" t="s">
        <v>208</v>
      </c>
      <c r="C226" s="101">
        <v>2</v>
      </c>
      <c r="E226" s="94" t="s">
        <v>3</v>
      </c>
      <c r="F226" s="50" t="s">
        <v>601</v>
      </c>
      <c r="H226" s="39" t="s">
        <v>244</v>
      </c>
      <c r="I226" s="16" t="s">
        <v>243</v>
      </c>
      <c r="J226" s="19">
        <f t="shared" si="14"/>
        <v>2</v>
      </c>
      <c r="K226" s="38" t="s">
        <v>3</v>
      </c>
    </row>
    <row r="227" spans="1:12" ht="43.2" x14ac:dyDescent="0.3">
      <c r="A227" s="553"/>
      <c r="B227" s="37" t="s">
        <v>206</v>
      </c>
      <c r="C227" s="101">
        <v>2.6</v>
      </c>
      <c r="E227" s="94" t="s">
        <v>3</v>
      </c>
      <c r="F227" s="50" t="s">
        <v>601</v>
      </c>
      <c r="H227" s="335" t="s">
        <v>5</v>
      </c>
      <c r="I227" s="39" t="s">
        <v>369</v>
      </c>
      <c r="J227" s="19">
        <f t="shared" si="14"/>
        <v>2.6</v>
      </c>
      <c r="K227" s="38" t="s">
        <v>3</v>
      </c>
      <c r="L227" s="419"/>
    </row>
    <row r="228" spans="1:12" ht="43.2" x14ac:dyDescent="0.3">
      <c r="A228" s="553"/>
      <c r="B228" s="37" t="s">
        <v>228</v>
      </c>
      <c r="C228" s="101">
        <v>0.95</v>
      </c>
      <c r="E228" s="94" t="s">
        <v>3</v>
      </c>
      <c r="F228" s="50" t="s">
        <v>601</v>
      </c>
      <c r="H228" s="39" t="s">
        <v>5</v>
      </c>
      <c r="I228" s="16" t="s">
        <v>367</v>
      </c>
      <c r="J228" s="19">
        <f t="shared" si="14"/>
        <v>0.95</v>
      </c>
      <c r="K228" s="38" t="s">
        <v>3</v>
      </c>
    </row>
    <row r="229" spans="1:12" ht="43.2" x14ac:dyDescent="0.3">
      <c r="A229" s="553"/>
      <c r="B229" s="37" t="s">
        <v>223</v>
      </c>
      <c r="C229" s="101">
        <v>0.11</v>
      </c>
      <c r="E229" s="94" t="s">
        <v>3</v>
      </c>
      <c r="F229" s="50" t="s">
        <v>601</v>
      </c>
      <c r="H229" s="39" t="s">
        <v>5</v>
      </c>
      <c r="I229" s="16" t="s">
        <v>15</v>
      </c>
      <c r="J229" s="19">
        <f t="shared" si="14"/>
        <v>0.11</v>
      </c>
      <c r="K229" s="38" t="s">
        <v>3</v>
      </c>
    </row>
    <row r="230" spans="1:12" ht="43.2" x14ac:dyDescent="0.3">
      <c r="A230" s="553"/>
      <c r="B230" s="37" t="s">
        <v>229</v>
      </c>
      <c r="C230" s="101">
        <v>0.75</v>
      </c>
      <c r="E230" s="94" t="s">
        <v>3</v>
      </c>
      <c r="F230" s="50" t="s">
        <v>601</v>
      </c>
      <c r="H230" s="39" t="s">
        <v>5</v>
      </c>
      <c r="I230" s="15" t="s">
        <v>237</v>
      </c>
      <c r="J230" s="19">
        <f t="shared" si="14"/>
        <v>0.75</v>
      </c>
      <c r="K230" s="38" t="s">
        <v>3</v>
      </c>
    </row>
    <row r="231" spans="1:12" ht="43.2" x14ac:dyDescent="0.3">
      <c r="A231" s="553"/>
      <c r="B231" s="37" t="s">
        <v>204</v>
      </c>
      <c r="C231" s="101">
        <v>6.6</v>
      </c>
      <c r="E231" s="94" t="s">
        <v>3</v>
      </c>
      <c r="F231" s="50" t="s">
        <v>601</v>
      </c>
      <c r="H231" s="25" t="s">
        <v>36</v>
      </c>
      <c r="I231" s="16" t="s">
        <v>438</v>
      </c>
      <c r="J231" s="19">
        <f>C231*0.001</f>
        <v>6.6E-3</v>
      </c>
      <c r="K231" s="38" t="s">
        <v>55</v>
      </c>
      <c r="L231" s="16" t="s">
        <v>439</v>
      </c>
    </row>
    <row r="232" spans="1:12" ht="43.2" x14ac:dyDescent="0.3">
      <c r="A232" s="553"/>
      <c r="B232" s="336" t="s">
        <v>202</v>
      </c>
      <c r="C232" s="337">
        <v>20</v>
      </c>
      <c r="D232" s="147"/>
      <c r="E232" s="338" t="s">
        <v>21</v>
      </c>
      <c r="F232" s="50" t="s">
        <v>601</v>
      </c>
      <c r="G232" s="72"/>
      <c r="H232" s="329" t="s">
        <v>5</v>
      </c>
      <c r="I232" s="72" t="s">
        <v>440</v>
      </c>
      <c r="J232" s="136">
        <f>C232*MJ_to_kWh</f>
        <v>5.5555600000000007</v>
      </c>
      <c r="K232" s="339" t="s">
        <v>4</v>
      </c>
      <c r="L232" s="72" t="s">
        <v>231</v>
      </c>
    </row>
    <row r="233" spans="1:12" ht="43.2" x14ac:dyDescent="0.3">
      <c r="A233" s="558"/>
      <c r="B233" s="126" t="s">
        <v>227</v>
      </c>
      <c r="C233" s="127">
        <v>1.7999999999999999E-2</v>
      </c>
      <c r="D233" s="148"/>
      <c r="E233" s="128" t="s">
        <v>3</v>
      </c>
      <c r="F233" s="54" t="s">
        <v>601</v>
      </c>
      <c r="G233" s="89"/>
      <c r="H233" s="89" t="s">
        <v>164</v>
      </c>
      <c r="I233" s="89" t="s">
        <v>238</v>
      </c>
      <c r="J233" s="266">
        <f>C233</f>
        <v>1.7999999999999999E-2</v>
      </c>
      <c r="K233" s="129" t="s">
        <v>3</v>
      </c>
      <c r="L233" s="89"/>
    </row>
    <row r="234" spans="1:12" ht="43.5" customHeight="1" x14ac:dyDescent="0.3">
      <c r="A234" s="550" t="s">
        <v>239</v>
      </c>
      <c r="B234" s="122" t="s">
        <v>207</v>
      </c>
      <c r="C234" s="102">
        <v>1</v>
      </c>
      <c r="D234" s="51"/>
      <c r="E234" s="95" t="s">
        <v>3</v>
      </c>
      <c r="F234" s="50" t="s">
        <v>601</v>
      </c>
      <c r="G234" s="50"/>
      <c r="H234" s="321" t="s">
        <v>7</v>
      </c>
      <c r="I234" s="50" t="s">
        <v>236</v>
      </c>
      <c r="J234" s="226">
        <v>1</v>
      </c>
      <c r="K234" s="42" t="s">
        <v>3</v>
      </c>
      <c r="L234" s="61" t="s">
        <v>437</v>
      </c>
    </row>
    <row r="235" spans="1:12" ht="43.2" x14ac:dyDescent="0.3">
      <c r="A235" s="550"/>
      <c r="B235" s="123" t="s">
        <v>212</v>
      </c>
      <c r="C235" s="103">
        <v>4.7000000000000002E-3</v>
      </c>
      <c r="E235" s="96" t="s">
        <v>3</v>
      </c>
      <c r="F235" s="50" t="s">
        <v>601</v>
      </c>
      <c r="H235" s="39" t="s">
        <v>210</v>
      </c>
      <c r="I235" s="16" t="s">
        <v>523</v>
      </c>
      <c r="J235" s="32">
        <f>C235</f>
        <v>4.7000000000000002E-3</v>
      </c>
      <c r="K235" s="15" t="s">
        <v>3</v>
      </c>
    </row>
    <row r="236" spans="1:12" ht="43.2" x14ac:dyDescent="0.3">
      <c r="A236" s="550"/>
      <c r="B236" s="124" t="s">
        <v>211</v>
      </c>
      <c r="C236" s="103">
        <v>7.1999999999999998E-3</v>
      </c>
      <c r="E236" s="96" t="s">
        <v>3</v>
      </c>
      <c r="F236" s="50" t="s">
        <v>601</v>
      </c>
      <c r="H236" s="25" t="s">
        <v>36</v>
      </c>
      <c r="I236" s="25" t="s">
        <v>378</v>
      </c>
      <c r="J236" s="32">
        <f>C236*0.001</f>
        <v>7.1999999999999997E-6</v>
      </c>
      <c r="K236" s="15" t="s">
        <v>55</v>
      </c>
    </row>
    <row r="237" spans="1:12" ht="43.2" x14ac:dyDescent="0.3">
      <c r="A237" s="550"/>
      <c r="B237" s="124" t="s">
        <v>213</v>
      </c>
      <c r="C237" s="340">
        <v>0.35</v>
      </c>
      <c r="E237" s="96" t="s">
        <v>21</v>
      </c>
      <c r="F237" s="50" t="s">
        <v>601</v>
      </c>
      <c r="H237" s="39" t="s">
        <v>5</v>
      </c>
      <c r="I237" s="16" t="s">
        <v>184</v>
      </c>
      <c r="J237" s="32">
        <f>C237</f>
        <v>0.35</v>
      </c>
      <c r="K237" s="15" t="s">
        <v>21</v>
      </c>
    </row>
    <row r="238" spans="1:12" ht="43.2" x14ac:dyDescent="0.3">
      <c r="A238" s="550"/>
      <c r="B238" s="341" t="s">
        <v>214</v>
      </c>
      <c r="C238" s="342">
        <v>8.5999999999999998E-4</v>
      </c>
      <c r="D238" s="147"/>
      <c r="E238" s="343" t="s">
        <v>3</v>
      </c>
      <c r="F238" s="50" t="s">
        <v>601</v>
      </c>
      <c r="G238" s="72"/>
      <c r="H238" s="50" t="s">
        <v>164</v>
      </c>
      <c r="I238" s="72" t="s">
        <v>264</v>
      </c>
      <c r="J238" s="199">
        <f>0.000089</f>
        <v>8.8999999999999995E-5</v>
      </c>
      <c r="K238" s="71" t="s">
        <v>3</v>
      </c>
      <c r="L238" s="72" t="s">
        <v>379</v>
      </c>
    </row>
    <row r="239" spans="1:12" ht="43.2" x14ac:dyDescent="0.3">
      <c r="A239" s="550"/>
      <c r="B239" s="330" t="s">
        <v>215</v>
      </c>
      <c r="C239" s="344">
        <v>8.8999999999999995E-5</v>
      </c>
      <c r="D239" s="218"/>
      <c r="E239" s="345" t="s">
        <v>3</v>
      </c>
      <c r="F239" s="50" t="s">
        <v>601</v>
      </c>
      <c r="G239" s="5"/>
      <c r="H239" s="50" t="s">
        <v>164</v>
      </c>
      <c r="I239" s="5" t="s">
        <v>191</v>
      </c>
      <c r="J239" s="199">
        <f>C238</f>
        <v>8.5999999999999998E-4</v>
      </c>
      <c r="K239" s="11" t="s">
        <v>3</v>
      </c>
      <c r="L239" s="5" t="s">
        <v>380</v>
      </c>
    </row>
    <row r="240" spans="1:12" ht="87" customHeight="1" x14ac:dyDescent="0.3">
      <c r="A240" s="552" t="s">
        <v>669</v>
      </c>
      <c r="B240" s="67" t="s">
        <v>241</v>
      </c>
      <c r="C240" s="149"/>
      <c r="D240" s="149"/>
      <c r="E240" s="68"/>
      <c r="F240" s="68"/>
      <c r="G240" s="68" t="s">
        <v>309</v>
      </c>
      <c r="H240" s="413" t="s">
        <v>7</v>
      </c>
      <c r="I240" s="68" t="s">
        <v>765</v>
      </c>
      <c r="J240" s="149">
        <v>1</v>
      </c>
      <c r="K240" s="67" t="s">
        <v>3</v>
      </c>
      <c r="L240" s="68" t="s">
        <v>911</v>
      </c>
    </row>
    <row r="241" spans="1:12" ht="28.8" x14ac:dyDescent="0.3">
      <c r="A241" s="553"/>
      <c r="H241" s="25" t="s">
        <v>5</v>
      </c>
      <c r="I241" s="25" t="s">
        <v>246</v>
      </c>
      <c r="J241" s="171">
        <f>(2*64.04)*(1/process_efficiency)*1/190.05</f>
        <v>0.70939780390202034</v>
      </c>
      <c r="K241" s="15" t="s">
        <v>3</v>
      </c>
      <c r="L241" s="25" t="s">
        <v>430</v>
      </c>
    </row>
    <row r="242" spans="1:12" ht="28.8" x14ac:dyDescent="0.3">
      <c r="A242" s="553"/>
      <c r="H242" s="16" t="s">
        <v>5</v>
      </c>
      <c r="I242" s="16" t="s">
        <v>15</v>
      </c>
      <c r="J242" s="171">
        <f>2*39.99*(1/process_efficiency)*1/190.05</f>
        <v>0.44298591783325714</v>
      </c>
      <c r="K242" s="15" t="s">
        <v>3</v>
      </c>
      <c r="L242" s="25" t="s">
        <v>429</v>
      </c>
    </row>
    <row r="243" spans="1:12" ht="90" x14ac:dyDescent="0.35">
      <c r="A243" s="553"/>
      <c r="H243" s="16" t="s">
        <v>5</v>
      </c>
      <c r="I243" s="16" t="s">
        <v>159</v>
      </c>
      <c r="J243" s="34">
        <v>2.6000000000000002E-2</v>
      </c>
      <c r="K243" s="15" t="s">
        <v>3</v>
      </c>
      <c r="L243" s="416" t="s">
        <v>168</v>
      </c>
    </row>
    <row r="244" spans="1:12" ht="120" x14ac:dyDescent="0.3">
      <c r="A244" s="553"/>
      <c r="H244" s="16" t="s">
        <v>5</v>
      </c>
      <c r="I244" s="16" t="s">
        <v>16</v>
      </c>
      <c r="J244" s="34">
        <v>4.0000000000000001E-10</v>
      </c>
      <c r="K244" s="15" t="s">
        <v>22</v>
      </c>
      <c r="L244" s="315" t="s">
        <v>180</v>
      </c>
    </row>
    <row r="245" spans="1:12" ht="165" x14ac:dyDescent="0.35">
      <c r="A245" s="553"/>
      <c r="H245" s="16" t="s">
        <v>5</v>
      </c>
      <c r="I245" s="16" t="s">
        <v>19</v>
      </c>
      <c r="J245" s="34">
        <v>0.41599999999999998</v>
      </c>
      <c r="K245" s="15" t="s">
        <v>4</v>
      </c>
      <c r="L245" s="416" t="s">
        <v>166</v>
      </c>
    </row>
    <row r="246" spans="1:12" ht="165" x14ac:dyDescent="0.35">
      <c r="A246" s="553"/>
      <c r="H246" s="16" t="s">
        <v>5</v>
      </c>
      <c r="I246" s="16" t="s">
        <v>20</v>
      </c>
      <c r="J246" s="34">
        <v>2.3499999999999996</v>
      </c>
      <c r="K246" s="15" t="s">
        <v>21</v>
      </c>
      <c r="L246" s="416" t="s">
        <v>167</v>
      </c>
    </row>
    <row r="247" spans="1:12" ht="120" x14ac:dyDescent="0.35">
      <c r="A247" s="553"/>
      <c r="H247" s="16" t="s">
        <v>5</v>
      </c>
      <c r="I247" s="16" t="s">
        <v>157</v>
      </c>
      <c r="J247" s="34">
        <v>1.9E-2</v>
      </c>
      <c r="K247" s="15" t="s">
        <v>3</v>
      </c>
      <c r="L247" s="416" t="s">
        <v>169</v>
      </c>
    </row>
    <row r="248" spans="1:12" ht="75" x14ac:dyDescent="0.35">
      <c r="A248" s="553"/>
      <c r="H248" s="16" t="s">
        <v>36</v>
      </c>
      <c r="I248" s="16" t="s">
        <v>161</v>
      </c>
      <c r="J248" s="34">
        <v>1.6399999999999998E-2</v>
      </c>
      <c r="K248" s="15" t="s">
        <v>55</v>
      </c>
      <c r="L248" s="416" t="s">
        <v>170</v>
      </c>
    </row>
    <row r="249" spans="1:12" ht="90" x14ac:dyDescent="0.35">
      <c r="A249" s="553"/>
      <c r="H249" s="16" t="s">
        <v>36</v>
      </c>
      <c r="I249" s="16" t="s">
        <v>162</v>
      </c>
      <c r="J249" s="34">
        <v>8.5999999999999998E-4</v>
      </c>
      <c r="K249" s="15" t="s">
        <v>55</v>
      </c>
      <c r="L249" s="416" t="s">
        <v>171</v>
      </c>
    </row>
    <row r="250" spans="1:12" ht="90" x14ac:dyDescent="0.35">
      <c r="A250" s="553"/>
      <c r="H250" s="16" t="s">
        <v>36</v>
      </c>
      <c r="I250" s="16" t="s">
        <v>160</v>
      </c>
      <c r="J250" s="34">
        <v>8.3000000000000001E-4</v>
      </c>
      <c r="K250" s="15" t="s">
        <v>55</v>
      </c>
      <c r="L250" s="416" t="s">
        <v>171</v>
      </c>
    </row>
    <row r="251" spans="1:12" ht="28.8" x14ac:dyDescent="0.3">
      <c r="A251" s="553"/>
      <c r="H251" s="50" t="s">
        <v>164</v>
      </c>
      <c r="I251" s="25" t="s">
        <v>190</v>
      </c>
      <c r="J251" s="256">
        <f>SO2_liquid*0.002</f>
        <v>1.4187956078040406E-3</v>
      </c>
      <c r="L251" s="25" t="s">
        <v>249</v>
      </c>
    </row>
    <row r="252" spans="1:12" ht="57.6" x14ac:dyDescent="0.3">
      <c r="A252" s="553"/>
      <c r="H252" s="16" t="s">
        <v>165</v>
      </c>
      <c r="I252" s="25" t="s">
        <v>931</v>
      </c>
      <c r="J252" s="256">
        <f>(((1/process_efficiency-1)*SO2_liquid)-SO2_air)*(80.03/64.04)*0.1</f>
        <v>4.4886196299122284E-3</v>
      </c>
      <c r="L252" s="25" t="s">
        <v>899</v>
      </c>
    </row>
    <row r="253" spans="1:12" ht="57.6" x14ac:dyDescent="0.3">
      <c r="A253" s="553"/>
      <c r="H253" s="16" t="s">
        <v>165</v>
      </c>
      <c r="I253" s="28" t="s">
        <v>932</v>
      </c>
      <c r="J253" s="32">
        <f>(((1/process_efficiency-1)*NaOH_in_sodium_metabisulfite)*(22.99/39.99)*0.1)</f>
        <v>1.3403674933189309E-3</v>
      </c>
      <c r="L253" s="25" t="s">
        <v>900</v>
      </c>
    </row>
    <row r="254" spans="1:12" ht="15" x14ac:dyDescent="0.3">
      <c r="A254" s="553"/>
      <c r="H254" s="16" t="s">
        <v>164</v>
      </c>
      <c r="I254" s="16" t="s">
        <v>163</v>
      </c>
      <c r="J254" s="34">
        <v>1.9E-2</v>
      </c>
      <c r="K254" s="15" t="s">
        <v>3</v>
      </c>
      <c r="L254" s="315" t="s">
        <v>181</v>
      </c>
    </row>
    <row r="255" spans="1:12" ht="75" x14ac:dyDescent="0.35">
      <c r="A255" s="553"/>
      <c r="G255" s="15"/>
      <c r="H255" s="16" t="s">
        <v>164</v>
      </c>
      <c r="I255" s="16" t="s">
        <v>32</v>
      </c>
      <c r="J255" s="34">
        <v>1.4E-3</v>
      </c>
      <c r="K255" s="15" t="s">
        <v>55</v>
      </c>
      <c r="L255" s="416" t="s">
        <v>172</v>
      </c>
    </row>
    <row r="256" spans="1:12" ht="45" x14ac:dyDescent="0.35">
      <c r="A256" s="553"/>
      <c r="H256" s="16" t="s">
        <v>165</v>
      </c>
      <c r="I256" s="16" t="s">
        <v>32</v>
      </c>
      <c r="J256" s="34">
        <v>1.67E-2</v>
      </c>
      <c r="K256" s="15" t="s">
        <v>55</v>
      </c>
      <c r="L256" s="416" t="s">
        <v>173</v>
      </c>
    </row>
    <row r="257" spans="1:12" ht="90" x14ac:dyDescent="0.35">
      <c r="A257" s="558"/>
      <c r="B257" s="55"/>
      <c r="C257" s="88"/>
      <c r="D257" s="88"/>
      <c r="E257" s="54"/>
      <c r="F257" s="54"/>
      <c r="G257" s="54"/>
      <c r="H257" s="54" t="s">
        <v>307</v>
      </c>
      <c r="I257" s="54" t="s">
        <v>54</v>
      </c>
      <c r="J257" s="134">
        <v>2.7E-6</v>
      </c>
      <c r="K257" s="55" t="s">
        <v>55</v>
      </c>
      <c r="L257" s="420" t="s">
        <v>182</v>
      </c>
    </row>
    <row r="258" spans="1:12" x14ac:dyDescent="0.3">
      <c r="A258" s="50"/>
      <c r="B258" s="42"/>
      <c r="C258" s="51"/>
      <c r="D258" s="51"/>
      <c r="E258" s="50"/>
      <c r="F258" s="50"/>
      <c r="G258" s="50"/>
      <c r="H258" s="50"/>
      <c r="I258" s="50"/>
      <c r="J258" s="51"/>
      <c r="K258" s="42"/>
      <c r="L258" s="50"/>
    </row>
  </sheetData>
  <autoFilter ref="A3:N257" xr:uid="{00000000-0009-0000-0000-000002000000}"/>
  <mergeCells count="29">
    <mergeCell ref="A240:A257"/>
    <mergeCell ref="A234:A239"/>
    <mergeCell ref="A224:A233"/>
    <mergeCell ref="L169:L173"/>
    <mergeCell ref="G145:G148"/>
    <mergeCell ref="G175:G177"/>
    <mergeCell ref="A190:A196"/>
    <mergeCell ref="A197:A209"/>
    <mergeCell ref="A162:A173"/>
    <mergeCell ref="A175:A181"/>
    <mergeCell ref="A183:A189"/>
    <mergeCell ref="A210:A223"/>
    <mergeCell ref="A145:A154"/>
    <mergeCell ref="L127:L130"/>
    <mergeCell ref="A155:A161"/>
    <mergeCell ref="A4:A23"/>
    <mergeCell ref="A79:A99"/>
    <mergeCell ref="A100:A106"/>
    <mergeCell ref="A61:A65"/>
    <mergeCell ref="A66:A78"/>
    <mergeCell ref="A107:A126"/>
    <mergeCell ref="L53:L54"/>
    <mergeCell ref="A45:A60"/>
    <mergeCell ref="G82:G83"/>
    <mergeCell ref="G84:G85"/>
    <mergeCell ref="G14:G15"/>
    <mergeCell ref="A32:A44"/>
    <mergeCell ref="A24:A31"/>
    <mergeCell ref="A131:A143"/>
  </mergeCells>
  <hyperlinks>
    <hyperlink ref="L8" r:id="rId1" xr:uid="{00000000-0004-0000-0200-000000000000}"/>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59999389629810485"/>
  </sheetPr>
  <dimension ref="A1:M274"/>
  <sheetViews>
    <sheetView zoomScale="70" zoomScaleNormal="70" workbookViewId="0">
      <pane xSplit="2" ySplit="3" topLeftCell="C4" activePane="bottomRight" state="frozen"/>
      <selection pane="topRight" activeCell="C1" sqref="C1"/>
      <selection pane="bottomLeft" activeCell="A4" sqref="A4"/>
      <selection pane="bottomRight" activeCell="B22" sqref="B22"/>
    </sheetView>
  </sheetViews>
  <sheetFormatPr defaultRowHeight="14.4" x14ac:dyDescent="0.3"/>
  <cols>
    <col min="1" max="1" width="17.5546875" style="16" customWidth="1"/>
    <col min="2" max="2" width="37.6640625" style="16" customWidth="1"/>
    <col min="3" max="3" width="10.21875" style="34" customWidth="1"/>
    <col min="4" max="4" width="7.21875" style="34" customWidth="1"/>
    <col min="5" max="5" width="7.21875" style="16" customWidth="1"/>
    <col min="6" max="6" width="24.21875" style="16" customWidth="1"/>
    <col min="7" max="7" width="54.21875" style="16" customWidth="1"/>
    <col min="8" max="8" width="24.77734375" style="16" bestFit="1" customWidth="1"/>
    <col min="9" max="9" width="39.21875" style="16" bestFit="1" customWidth="1"/>
    <col min="10" max="10" width="12.109375" style="91" customWidth="1"/>
    <col min="11" max="11" width="11" style="15" customWidth="1"/>
    <col min="12" max="12" width="143.21875" style="16" customWidth="1"/>
    <col min="13" max="13" width="25.6640625" customWidth="1"/>
    <col min="14" max="14" width="29.21875" customWidth="1"/>
    <col min="15" max="15" width="12.33203125" customWidth="1"/>
    <col min="16" max="16" width="11.21875" customWidth="1"/>
    <col min="17" max="17" width="12.44140625" bestFit="1" customWidth="1"/>
  </cols>
  <sheetData>
    <row r="1" spans="1:12" ht="15.6" x14ac:dyDescent="0.3">
      <c r="A1" s="296" t="s">
        <v>769</v>
      </c>
      <c r="B1" s="72"/>
      <c r="G1"/>
      <c r="H1"/>
      <c r="I1"/>
      <c r="J1" s="209"/>
      <c r="K1"/>
      <c r="L1" s="13"/>
    </row>
    <row r="2" spans="1:12" x14ac:dyDescent="0.3">
      <c r="B2" s="50"/>
      <c r="G2"/>
      <c r="H2"/>
      <c r="I2"/>
      <c r="J2" s="209"/>
      <c r="K2"/>
      <c r="L2" s="13"/>
    </row>
    <row r="3" spans="1:12" ht="28.8" x14ac:dyDescent="0.3">
      <c r="A3" s="187" t="s">
        <v>732</v>
      </c>
      <c r="B3" s="44" t="s">
        <v>59</v>
      </c>
      <c r="C3" s="45" t="s">
        <v>263</v>
      </c>
      <c r="D3" s="45" t="s">
        <v>82</v>
      </c>
      <c r="E3" s="45" t="s">
        <v>60</v>
      </c>
      <c r="F3" s="45" t="s">
        <v>107</v>
      </c>
      <c r="G3" s="45" t="s">
        <v>772</v>
      </c>
      <c r="H3" s="47" t="s">
        <v>733</v>
      </c>
      <c r="I3" s="47" t="s">
        <v>730</v>
      </c>
      <c r="J3" s="435" t="s">
        <v>1</v>
      </c>
      <c r="K3" s="48" t="s">
        <v>62</v>
      </c>
      <c r="L3" s="48" t="s">
        <v>912</v>
      </c>
    </row>
    <row r="4" spans="1:12" x14ac:dyDescent="0.3">
      <c r="A4" s="552" t="s">
        <v>566</v>
      </c>
      <c r="B4" s="50" t="s">
        <v>68</v>
      </c>
      <c r="C4" s="346">
        <f>SUM(C5:C21)</f>
        <v>1.0011432655319141</v>
      </c>
      <c r="D4" s="300"/>
      <c r="E4" s="297" t="s">
        <v>69</v>
      </c>
      <c r="F4" s="295" t="s">
        <v>100</v>
      </c>
      <c r="G4" s="40"/>
      <c r="H4" s="414" t="s">
        <v>7</v>
      </c>
      <c r="I4" s="50" t="s">
        <v>943</v>
      </c>
      <c r="J4" s="407">
        <v>1</v>
      </c>
      <c r="K4" s="298" t="s">
        <v>3</v>
      </c>
      <c r="L4" s="414"/>
    </row>
    <row r="5" spans="1:12" x14ac:dyDescent="0.3">
      <c r="A5" s="553"/>
      <c r="B5" s="17" t="s">
        <v>74</v>
      </c>
      <c r="C5" s="299">
        <v>0.14381982978723401</v>
      </c>
      <c r="D5" s="90">
        <f>C5/$C$4</f>
        <v>0.14365559329894864</v>
      </c>
      <c r="F5" s="17" t="s">
        <v>100</v>
      </c>
      <c r="H5" s="16" t="s">
        <v>5</v>
      </c>
      <c r="I5" s="131" t="s">
        <v>12</v>
      </c>
      <c r="J5" s="171">
        <f>D5</f>
        <v>0.14365559329894864</v>
      </c>
      <c r="K5" s="15" t="s">
        <v>3</v>
      </c>
      <c r="L5" s="16" t="s">
        <v>370</v>
      </c>
    </row>
    <row r="6" spans="1:12" ht="128.55000000000001" customHeight="1" x14ac:dyDescent="0.3">
      <c r="A6" s="553"/>
      <c r="B6" s="17"/>
      <c r="C6" s="299"/>
      <c r="D6" s="90"/>
      <c r="F6" s="17"/>
      <c r="H6" s="16" t="s">
        <v>5</v>
      </c>
      <c r="I6" s="5" t="s">
        <v>515</v>
      </c>
      <c r="J6" s="171">
        <f>J5</f>
        <v>0.14365559329894864</v>
      </c>
      <c r="K6" s="15" t="s">
        <v>3</v>
      </c>
      <c r="L6" s="72" t="s">
        <v>934</v>
      </c>
    </row>
    <row r="7" spans="1:12" x14ac:dyDescent="0.3">
      <c r="A7" s="553"/>
      <c r="B7" s="17" t="s">
        <v>75</v>
      </c>
      <c r="C7" s="299">
        <v>4.251829787234037E-3</v>
      </c>
      <c r="D7" s="90">
        <f t="shared" ref="D7:D21" si="0">C7/$C$4</f>
        <v>4.2469743678243809E-3</v>
      </c>
      <c r="F7" s="17" t="s">
        <v>100</v>
      </c>
      <c r="G7"/>
      <c r="H7" s="16" t="s">
        <v>5</v>
      </c>
      <c r="I7" t="s">
        <v>336</v>
      </c>
      <c r="J7" s="171">
        <f t="shared" ref="J7:J20" si="1">D7</f>
        <v>4.2469743678243809E-3</v>
      </c>
      <c r="K7" s="15" t="s">
        <v>3</v>
      </c>
    </row>
    <row r="8" spans="1:12" x14ac:dyDescent="0.3">
      <c r="A8" s="553"/>
      <c r="B8" s="17"/>
      <c r="C8" s="299"/>
      <c r="D8" s="90"/>
      <c r="F8" s="17"/>
      <c r="H8" s="16" t="s">
        <v>5</v>
      </c>
      <c r="I8" s="16" t="s">
        <v>329</v>
      </c>
      <c r="J8" s="171">
        <f>J7</f>
        <v>4.2469743678243809E-3</v>
      </c>
      <c r="K8" s="15" t="s">
        <v>3</v>
      </c>
      <c r="L8" s="415" t="s">
        <v>335</v>
      </c>
    </row>
    <row r="9" spans="1:12" x14ac:dyDescent="0.3">
      <c r="A9" s="553"/>
      <c r="B9" s="17" t="s">
        <v>76</v>
      </c>
      <c r="C9" s="299">
        <v>6.0740425531914883E-4</v>
      </c>
      <c r="D9" s="90">
        <f t="shared" si="0"/>
        <v>6.0671062397491221E-4</v>
      </c>
      <c r="F9" s="17" t="s">
        <v>100</v>
      </c>
      <c r="G9" s="139"/>
      <c r="H9" s="16" t="s">
        <v>5</v>
      </c>
      <c r="I9" s="139" t="s">
        <v>53</v>
      </c>
      <c r="J9" s="257">
        <f>D9</f>
        <v>6.0671062397491221E-4</v>
      </c>
      <c r="K9" s="15" t="s">
        <v>3</v>
      </c>
    </row>
    <row r="10" spans="1:12" ht="14.55" customHeight="1" x14ac:dyDescent="0.3">
      <c r="A10" s="553"/>
      <c r="B10" s="17"/>
      <c r="C10" s="299"/>
      <c r="D10" s="90"/>
      <c r="F10" s="17"/>
      <c r="G10" s="140"/>
      <c r="H10" s="16" t="s">
        <v>5</v>
      </c>
      <c r="I10" s="140" t="s">
        <v>14</v>
      </c>
      <c r="J10" s="436">
        <f>J9</f>
        <v>6.0671062397491221E-4</v>
      </c>
      <c r="K10" s="15" t="s">
        <v>3</v>
      </c>
      <c r="L10" s="16" t="s">
        <v>497</v>
      </c>
    </row>
    <row r="11" spans="1:12" ht="28.8" x14ac:dyDescent="0.3">
      <c r="A11" s="553"/>
      <c r="B11" s="17" t="s">
        <v>341</v>
      </c>
      <c r="C11" s="299">
        <v>2.0246808510638293E-4</v>
      </c>
      <c r="D11" s="90">
        <f t="shared" si="0"/>
        <v>2.0223687465830404E-4</v>
      </c>
      <c r="F11" s="17" t="s">
        <v>100</v>
      </c>
      <c r="G11" s="61"/>
      <c r="H11" s="16" t="s">
        <v>5</v>
      </c>
      <c r="I11" s="61" t="s">
        <v>495</v>
      </c>
      <c r="J11" s="437">
        <f>D11</f>
        <v>2.0223687465830404E-4</v>
      </c>
      <c r="K11" s="15" t="s">
        <v>3</v>
      </c>
      <c r="L11" s="25" t="s">
        <v>496</v>
      </c>
    </row>
    <row r="12" spans="1:12" ht="28.8" x14ac:dyDescent="0.3">
      <c r="A12" s="553"/>
      <c r="B12" s="17" t="s">
        <v>63</v>
      </c>
      <c r="C12" s="299">
        <v>6.209021276595744E-3</v>
      </c>
      <c r="D12" s="90">
        <f t="shared" si="0"/>
        <v>6.2019308228546581E-3</v>
      </c>
      <c r="F12" s="17" t="s">
        <v>40</v>
      </c>
      <c r="G12" s="16" t="s">
        <v>108</v>
      </c>
      <c r="H12" s="16" t="s">
        <v>5</v>
      </c>
      <c r="I12" s="200" t="s">
        <v>147</v>
      </c>
      <c r="J12" s="171">
        <f>D12</f>
        <v>6.2019308228546581E-3</v>
      </c>
      <c r="K12" s="15" t="s">
        <v>3</v>
      </c>
    </row>
    <row r="13" spans="1:12" x14ac:dyDescent="0.3">
      <c r="A13" s="553"/>
      <c r="B13" s="17"/>
      <c r="C13" s="299"/>
      <c r="D13" s="90"/>
      <c r="F13" s="17"/>
      <c r="H13" s="16" t="s">
        <v>5</v>
      </c>
      <c r="I13" s="16" t="s">
        <v>31</v>
      </c>
      <c r="J13" s="171">
        <f>J12</f>
        <v>6.2019308228546581E-3</v>
      </c>
      <c r="K13" s="15" t="s">
        <v>3</v>
      </c>
    </row>
    <row r="14" spans="1:12" ht="28.95" customHeight="1" x14ac:dyDescent="0.3">
      <c r="A14" s="553"/>
      <c r="B14" s="17" t="s">
        <v>77</v>
      </c>
      <c r="C14" s="299">
        <f>4.77149787234042%/2</f>
        <v>2.3857489361702101E-2</v>
      </c>
      <c r="D14" s="90">
        <f t="shared" si="0"/>
        <v>2.3830245063903473E-2</v>
      </c>
      <c r="F14" s="17" t="s">
        <v>100</v>
      </c>
      <c r="G14" s="561" t="s">
        <v>311</v>
      </c>
      <c r="H14" s="16" t="s">
        <v>5</v>
      </c>
      <c r="I14" s="5" t="s">
        <v>327</v>
      </c>
      <c r="J14" s="171">
        <f t="shared" si="1"/>
        <v>2.3830245063903473E-2</v>
      </c>
      <c r="K14" s="15" t="s">
        <v>3</v>
      </c>
    </row>
    <row r="15" spans="1:12" ht="28.95" customHeight="1" x14ac:dyDescent="0.3">
      <c r="A15" s="553"/>
      <c r="B15" s="17" t="s">
        <v>78</v>
      </c>
      <c r="C15" s="299">
        <f>4.77149787234042%/2</f>
        <v>2.3857489361702101E-2</v>
      </c>
      <c r="D15" s="90">
        <f t="shared" si="0"/>
        <v>2.3830245063903473E-2</v>
      </c>
      <c r="F15" s="17" t="s">
        <v>100</v>
      </c>
      <c r="G15" s="563"/>
      <c r="H15" s="25" t="s">
        <v>5</v>
      </c>
      <c r="I15" s="16" t="s">
        <v>328</v>
      </c>
      <c r="J15" s="171">
        <f t="shared" si="1"/>
        <v>2.3830245063903473E-2</v>
      </c>
      <c r="K15" s="15" t="s">
        <v>3</v>
      </c>
    </row>
    <row r="16" spans="1:12" ht="28.8" x14ac:dyDescent="0.3">
      <c r="A16" s="553"/>
      <c r="B16" s="17" t="s">
        <v>64</v>
      </c>
      <c r="C16" s="299">
        <v>1.3254910638297878E-3</v>
      </c>
      <c r="D16" s="90">
        <f t="shared" si="0"/>
        <v>1.3239774060963647E-3</v>
      </c>
      <c r="F16" s="17" t="s">
        <v>100</v>
      </c>
      <c r="H16" s="16" t="s">
        <v>5</v>
      </c>
      <c r="I16" s="11" t="s">
        <v>12</v>
      </c>
      <c r="J16" s="171">
        <f t="shared" si="1"/>
        <v>1.3239774060963647E-3</v>
      </c>
      <c r="K16" s="15" t="s">
        <v>3</v>
      </c>
      <c r="L16" s="16" t="s">
        <v>340</v>
      </c>
    </row>
    <row r="17" spans="1:12" x14ac:dyDescent="0.3">
      <c r="A17" s="553"/>
      <c r="B17" s="17"/>
      <c r="C17" s="299"/>
      <c r="D17" s="90"/>
      <c r="F17" s="17"/>
      <c r="H17" s="16" t="s">
        <v>5</v>
      </c>
      <c r="I17" t="s">
        <v>13</v>
      </c>
      <c r="J17" s="171">
        <f>J16</f>
        <v>1.3239774060963647E-3</v>
      </c>
      <c r="K17" s="15" t="s">
        <v>3</v>
      </c>
      <c r="L17" s="16" t="s">
        <v>371</v>
      </c>
    </row>
    <row r="18" spans="1:12" x14ac:dyDescent="0.3">
      <c r="A18" s="553"/>
      <c r="B18" s="17" t="s">
        <v>65</v>
      </c>
      <c r="C18" s="299">
        <v>2.6841194042553206E-2</v>
      </c>
      <c r="D18" s="90">
        <f t="shared" si="0"/>
        <v>2.6810542473451389E-2</v>
      </c>
      <c r="F18" s="17" t="s">
        <v>100</v>
      </c>
      <c r="H18" s="16" t="s">
        <v>5</v>
      </c>
      <c r="I18" s="16" t="s">
        <v>741</v>
      </c>
      <c r="J18" s="171">
        <f t="shared" si="1"/>
        <v>2.6810542473451389E-2</v>
      </c>
      <c r="K18" s="15" t="s">
        <v>3</v>
      </c>
    </row>
    <row r="19" spans="1:12" x14ac:dyDescent="0.3">
      <c r="A19" s="553"/>
      <c r="B19" s="17" t="s">
        <v>66</v>
      </c>
      <c r="C19" s="299">
        <v>4.639218723404258E-3</v>
      </c>
      <c r="D19" s="90">
        <f t="shared" si="0"/>
        <v>4.633920921337277E-3</v>
      </c>
      <c r="F19" s="17" t="s">
        <v>100</v>
      </c>
      <c r="G19" s="25"/>
      <c r="H19" s="16" t="s">
        <v>5</v>
      </c>
      <c r="I19" s="16" t="s">
        <v>337</v>
      </c>
      <c r="J19" s="171">
        <f t="shared" si="1"/>
        <v>4.633920921337277E-3</v>
      </c>
      <c r="K19" s="15" t="s">
        <v>3</v>
      </c>
    </row>
    <row r="20" spans="1:12" x14ac:dyDescent="0.3">
      <c r="A20" s="553"/>
      <c r="B20" s="17" t="s">
        <v>72</v>
      </c>
      <c r="C20" s="299">
        <f>C66</f>
        <v>5.723097872340429E-2</v>
      </c>
      <c r="D20" s="90">
        <f t="shared" si="0"/>
        <v>5.7165623236747329E-2</v>
      </c>
      <c r="F20" s="17" t="s">
        <v>40</v>
      </c>
      <c r="H20" s="16" t="s">
        <v>5</v>
      </c>
      <c r="I20" s="11" t="s">
        <v>734</v>
      </c>
      <c r="J20" s="171">
        <f t="shared" si="1"/>
        <v>5.7165623236747329E-2</v>
      </c>
      <c r="K20" s="15" t="s">
        <v>3</v>
      </c>
    </row>
    <row r="21" spans="1:12" x14ac:dyDescent="0.3">
      <c r="A21" s="572"/>
      <c r="B21" s="446" t="s">
        <v>537</v>
      </c>
      <c r="C21" s="425">
        <f>C79</f>
        <v>0.70830085106382901</v>
      </c>
      <c r="D21" s="90">
        <f t="shared" si="0"/>
        <v>0.70749199984629974</v>
      </c>
      <c r="E21" s="121"/>
      <c r="F21" s="405"/>
      <c r="G21" s="121"/>
      <c r="H21" s="16" t="s">
        <v>5</v>
      </c>
      <c r="I21" s="11" t="s">
        <v>944</v>
      </c>
      <c r="J21" s="538">
        <f>D21</f>
        <v>0.70749199984629974</v>
      </c>
      <c r="K21" s="167"/>
      <c r="L21" s="121"/>
    </row>
    <row r="22" spans="1:12" ht="30" x14ac:dyDescent="0.3">
      <c r="A22" s="572"/>
      <c r="B22" s="447"/>
      <c r="C22" s="276"/>
      <c r="D22" s="276"/>
      <c r="E22" s="140"/>
      <c r="F22" s="140"/>
      <c r="G22" s="140"/>
      <c r="H22" s="16" t="s">
        <v>5</v>
      </c>
      <c r="I22" s="140" t="s">
        <v>381</v>
      </c>
      <c r="J22" s="251">
        <f>1/(40000*300/140*143.38*50)</f>
        <v>1.6273771330264566E-9</v>
      </c>
      <c r="K22" s="105" t="s">
        <v>22</v>
      </c>
      <c r="L22" s="231" t="s">
        <v>667</v>
      </c>
    </row>
    <row r="23" spans="1:12" ht="57.6" x14ac:dyDescent="0.3">
      <c r="A23" s="558"/>
      <c r="B23" s="53" t="s">
        <v>67</v>
      </c>
      <c r="C23" s="206">
        <v>1E-3</v>
      </c>
      <c r="D23" s="206" t="s">
        <v>69</v>
      </c>
      <c r="E23" s="207" t="s">
        <v>109</v>
      </c>
      <c r="F23" s="208" t="s">
        <v>257</v>
      </c>
      <c r="G23" s="202" t="s">
        <v>768</v>
      </c>
      <c r="H23" s="202" t="s">
        <v>5</v>
      </c>
      <c r="I23" s="203" t="s">
        <v>298</v>
      </c>
      <c r="J23" s="252">
        <f>C23*MJ_to_kWh</f>
        <v>2.7777800000000001E-4</v>
      </c>
      <c r="K23" s="203" t="s">
        <v>4</v>
      </c>
      <c r="L23" s="202" t="s">
        <v>197</v>
      </c>
    </row>
    <row r="24" spans="1:12" x14ac:dyDescent="0.3">
      <c r="A24" s="557" t="s">
        <v>918</v>
      </c>
      <c r="B24" s="446" t="s">
        <v>420</v>
      </c>
      <c r="C24" s="218">
        <v>1</v>
      </c>
      <c r="D24" s="11"/>
      <c r="E24" s="11" t="s">
        <v>3</v>
      </c>
      <c r="F24" s="5" t="s">
        <v>478</v>
      </c>
      <c r="G24" s="5"/>
      <c r="H24" s="11" t="s">
        <v>7</v>
      </c>
      <c r="I24" s="121" t="s">
        <v>741</v>
      </c>
      <c r="J24" s="357">
        <v>1</v>
      </c>
      <c r="K24" s="121" t="s">
        <v>3</v>
      </c>
      <c r="L24" s="5"/>
    </row>
    <row r="25" spans="1:12" ht="72" x14ac:dyDescent="0.3">
      <c r="A25" s="550"/>
      <c r="B25" s="446" t="s">
        <v>421</v>
      </c>
      <c r="C25" s="218">
        <v>8.8999999999999996E-2</v>
      </c>
      <c r="D25" s="11"/>
      <c r="E25" s="11" t="s">
        <v>3</v>
      </c>
      <c r="F25" s="5" t="s">
        <v>478</v>
      </c>
      <c r="G25" s="11"/>
      <c r="H25" s="5" t="s">
        <v>5</v>
      </c>
      <c r="I25" s="5" t="s">
        <v>435</v>
      </c>
      <c r="J25" s="357">
        <f>C25</f>
        <v>8.8999999999999996E-2</v>
      </c>
      <c r="K25" s="121" t="s">
        <v>3</v>
      </c>
      <c r="L25" s="5" t="s">
        <v>477</v>
      </c>
    </row>
    <row r="26" spans="1:12" x14ac:dyDescent="0.3">
      <c r="A26" s="550"/>
      <c r="B26" s="446" t="s">
        <v>422</v>
      </c>
      <c r="C26" s="218">
        <v>0.48</v>
      </c>
      <c r="D26" s="11"/>
      <c r="E26" s="11" t="s">
        <v>3</v>
      </c>
      <c r="F26" s="5" t="s">
        <v>478</v>
      </c>
      <c r="G26" s="11"/>
      <c r="H26" s="5" t="s">
        <v>5</v>
      </c>
      <c r="I26" s="5" t="s">
        <v>742</v>
      </c>
      <c r="J26" s="357">
        <f t="shared" ref="J26:J32" si="2">C26</f>
        <v>0.48</v>
      </c>
      <c r="K26" s="121" t="s">
        <v>3</v>
      </c>
      <c r="L26" s="5"/>
    </row>
    <row r="27" spans="1:12" x14ac:dyDescent="0.3">
      <c r="A27" s="550"/>
      <c r="B27" s="446" t="s">
        <v>423</v>
      </c>
      <c r="C27" s="218">
        <v>3.0000000000000001E-3</v>
      </c>
      <c r="D27" s="11"/>
      <c r="E27" s="11" t="s">
        <v>3</v>
      </c>
      <c r="F27" s="5" t="s">
        <v>478</v>
      </c>
      <c r="G27" s="11"/>
      <c r="H27" s="5" t="s">
        <v>5</v>
      </c>
      <c r="I27" s="5" t="s">
        <v>480</v>
      </c>
      <c r="J27" s="357">
        <f t="shared" si="2"/>
        <v>3.0000000000000001E-3</v>
      </c>
      <c r="K27" s="121" t="s">
        <v>3</v>
      </c>
      <c r="L27" s="5" t="s">
        <v>498</v>
      </c>
    </row>
    <row r="28" spans="1:12" ht="28.8" x14ac:dyDescent="0.3">
      <c r="A28" s="550"/>
      <c r="B28" s="446"/>
      <c r="C28" s="218"/>
      <c r="D28" s="11"/>
      <c r="E28" s="11"/>
      <c r="F28" s="5" t="s">
        <v>478</v>
      </c>
      <c r="G28" s="5"/>
      <c r="H28" s="5" t="s">
        <v>5</v>
      </c>
      <c r="I28" s="5" t="s">
        <v>482</v>
      </c>
      <c r="J28" s="357">
        <f>J27</f>
        <v>3.0000000000000001E-3</v>
      </c>
      <c r="K28" s="121" t="s">
        <v>3</v>
      </c>
      <c r="L28" s="5"/>
    </row>
    <row r="29" spans="1:12" x14ac:dyDescent="0.3">
      <c r="A29" s="550"/>
      <c r="B29" s="446" t="s">
        <v>424</v>
      </c>
      <c r="C29" s="218">
        <v>0.3</v>
      </c>
      <c r="D29" s="11"/>
      <c r="E29" s="11" t="s">
        <v>3</v>
      </c>
      <c r="F29" s="5" t="s">
        <v>478</v>
      </c>
      <c r="G29" s="11"/>
      <c r="H29" s="5" t="s">
        <v>5</v>
      </c>
      <c r="I29" s="5" t="s">
        <v>444</v>
      </c>
      <c r="J29" s="357">
        <f t="shared" si="2"/>
        <v>0.3</v>
      </c>
      <c r="K29" s="121" t="s">
        <v>3</v>
      </c>
      <c r="L29" s="5"/>
    </row>
    <row r="30" spans="1:12" x14ac:dyDescent="0.3">
      <c r="A30" s="550"/>
      <c r="B30" s="104" t="s">
        <v>425</v>
      </c>
      <c r="C30" s="218">
        <v>0.13</v>
      </c>
      <c r="D30" s="11"/>
      <c r="E30" s="11" t="s">
        <v>3</v>
      </c>
      <c r="F30" s="5" t="s">
        <v>478</v>
      </c>
      <c r="G30" s="11"/>
      <c r="H30" s="5" t="s">
        <v>5</v>
      </c>
      <c r="I30" s="5" t="s">
        <v>443</v>
      </c>
      <c r="J30" s="357">
        <f t="shared" si="2"/>
        <v>0.13</v>
      </c>
      <c r="K30" s="5" t="s">
        <v>3</v>
      </c>
      <c r="L30" s="5"/>
    </row>
    <row r="31" spans="1:12" x14ac:dyDescent="0.3">
      <c r="A31" s="551"/>
      <c r="B31" s="202"/>
      <c r="C31" s="258"/>
      <c r="D31" s="203"/>
      <c r="E31" s="203"/>
      <c r="F31" s="202"/>
      <c r="G31" s="203"/>
      <c r="H31" s="202" t="s">
        <v>5</v>
      </c>
      <c r="I31" s="4" t="s">
        <v>658</v>
      </c>
      <c r="J31" s="369">
        <v>2E-8</v>
      </c>
      <c r="K31" s="4" t="s">
        <v>22</v>
      </c>
      <c r="L31" s="202" t="s">
        <v>662</v>
      </c>
    </row>
    <row r="32" spans="1:12" x14ac:dyDescent="0.3">
      <c r="A32" s="557" t="s">
        <v>739</v>
      </c>
      <c r="B32" s="5" t="s">
        <v>422</v>
      </c>
      <c r="C32" s="218">
        <v>1</v>
      </c>
      <c r="D32" s="11"/>
      <c r="E32" s="11" t="s">
        <v>3</v>
      </c>
      <c r="F32" s="5" t="s">
        <v>478</v>
      </c>
      <c r="G32" s="5"/>
      <c r="H32" s="5" t="s">
        <v>5</v>
      </c>
      <c r="I32" s="5" t="s">
        <v>742</v>
      </c>
      <c r="J32" s="438">
        <f t="shared" si="2"/>
        <v>1</v>
      </c>
      <c r="K32" s="11" t="s">
        <v>3</v>
      </c>
      <c r="L32" s="5"/>
    </row>
    <row r="33" spans="1:12" x14ac:dyDescent="0.3">
      <c r="A33" s="550"/>
      <c r="B33" s="5" t="s">
        <v>445</v>
      </c>
      <c r="C33" s="10">
        <v>2.0000000000000001E-4</v>
      </c>
      <c r="D33" s="11"/>
      <c r="E33" s="11" t="s">
        <v>3</v>
      </c>
      <c r="F33" s="5" t="s">
        <v>478</v>
      </c>
      <c r="G33" s="11"/>
      <c r="H33" s="5" t="s">
        <v>5</v>
      </c>
      <c r="I33" s="5" t="s">
        <v>476</v>
      </c>
      <c r="J33" s="438">
        <f>C33</f>
        <v>2.0000000000000001E-4</v>
      </c>
      <c r="K33" s="11" t="s">
        <v>3</v>
      </c>
      <c r="L33" s="5"/>
    </row>
    <row r="34" spans="1:12" ht="72" x14ac:dyDescent="0.3">
      <c r="A34" s="550"/>
      <c r="B34" s="5" t="s">
        <v>446</v>
      </c>
      <c r="C34" s="10">
        <v>0.11</v>
      </c>
      <c r="D34" s="11"/>
      <c r="E34" s="11" t="s">
        <v>3</v>
      </c>
      <c r="F34" s="5" t="s">
        <v>478</v>
      </c>
      <c r="G34" s="11"/>
      <c r="H34" s="5" t="s">
        <v>5</v>
      </c>
      <c r="I34" s="5" t="s">
        <v>435</v>
      </c>
      <c r="J34" s="438">
        <f t="shared" ref="J34:J43" si="3">C34</f>
        <v>0.11</v>
      </c>
      <c r="K34" s="11" t="s">
        <v>3</v>
      </c>
      <c r="L34" s="5" t="s">
        <v>477</v>
      </c>
    </row>
    <row r="35" spans="1:12" x14ac:dyDescent="0.3">
      <c r="A35" s="550"/>
      <c r="B35" s="5" t="s">
        <v>447</v>
      </c>
      <c r="C35" s="10">
        <v>1.7E-5</v>
      </c>
      <c r="D35" s="11"/>
      <c r="E35" s="11" t="s">
        <v>3</v>
      </c>
      <c r="F35" s="5" t="s">
        <v>478</v>
      </c>
      <c r="G35" s="11"/>
      <c r="H35" s="5" t="s">
        <v>5</v>
      </c>
      <c r="I35" s="5" t="s">
        <v>479</v>
      </c>
      <c r="J35" s="438">
        <f t="shared" si="3"/>
        <v>1.7E-5</v>
      </c>
      <c r="K35" s="11" t="s">
        <v>3</v>
      </c>
      <c r="L35" s="5"/>
    </row>
    <row r="36" spans="1:12" x14ac:dyDescent="0.3">
      <c r="A36" s="550"/>
      <c r="B36" s="5" t="s">
        <v>448</v>
      </c>
      <c r="C36" s="10">
        <v>0.85</v>
      </c>
      <c r="D36" s="11"/>
      <c r="E36" s="11" t="s">
        <v>3</v>
      </c>
      <c r="F36" s="5" t="s">
        <v>478</v>
      </c>
      <c r="G36" s="11"/>
      <c r="H36" s="5" t="s">
        <v>5</v>
      </c>
      <c r="I36" s="5" t="s">
        <v>480</v>
      </c>
      <c r="J36" s="438">
        <f t="shared" si="3"/>
        <v>0.85</v>
      </c>
      <c r="K36" s="11" t="s">
        <v>3</v>
      </c>
      <c r="L36" s="5" t="s">
        <v>499</v>
      </c>
    </row>
    <row r="37" spans="1:12" ht="28.8" x14ac:dyDescent="0.3">
      <c r="A37" s="550"/>
      <c r="B37" s="5" t="s">
        <v>454</v>
      </c>
      <c r="C37" s="10">
        <v>0.85</v>
      </c>
      <c r="D37" s="11"/>
      <c r="E37" s="11" t="s">
        <v>3</v>
      </c>
      <c r="F37" s="5" t="s">
        <v>478</v>
      </c>
      <c r="G37" s="11"/>
      <c r="H37" s="5" t="s">
        <v>5</v>
      </c>
      <c r="I37" s="5" t="s">
        <v>482</v>
      </c>
      <c r="J37" s="438">
        <f t="shared" si="3"/>
        <v>0.85</v>
      </c>
      <c r="K37" s="11" t="s">
        <v>3</v>
      </c>
      <c r="L37" s="5"/>
    </row>
    <row r="38" spans="1:12" ht="12.45" customHeight="1" x14ac:dyDescent="0.3">
      <c r="A38" s="550"/>
      <c r="B38" s="5" t="s">
        <v>451</v>
      </c>
      <c r="C38" s="10">
        <v>2.1000000000000001E-2</v>
      </c>
      <c r="D38" s="11"/>
      <c r="E38" s="11" t="s">
        <v>3</v>
      </c>
      <c r="F38" s="5" t="s">
        <v>478</v>
      </c>
      <c r="G38" s="11"/>
      <c r="H38" s="5" t="s">
        <v>5</v>
      </c>
      <c r="I38" s="13" t="s">
        <v>483</v>
      </c>
      <c r="J38" s="438">
        <f t="shared" si="3"/>
        <v>2.1000000000000001E-2</v>
      </c>
      <c r="K38" s="11" t="s">
        <v>3</v>
      </c>
      <c r="L38" s="5"/>
    </row>
    <row r="39" spans="1:12" ht="28.8" x14ac:dyDescent="0.3">
      <c r="A39" s="550"/>
      <c r="B39" s="5" t="s">
        <v>452</v>
      </c>
      <c r="C39" s="10">
        <v>6.7999999999999996E-3</v>
      </c>
      <c r="D39" s="11"/>
      <c r="E39" s="11" t="s">
        <v>3</v>
      </c>
      <c r="F39" s="5" t="s">
        <v>478</v>
      </c>
      <c r="G39" s="11"/>
      <c r="H39" s="5" t="s">
        <v>5</v>
      </c>
      <c r="I39" s="5" t="s">
        <v>273</v>
      </c>
      <c r="J39" s="438">
        <f t="shared" si="3"/>
        <v>6.7999999999999996E-3</v>
      </c>
      <c r="K39" s="11" t="s">
        <v>3</v>
      </c>
      <c r="L39" s="5"/>
    </row>
    <row r="40" spans="1:12" x14ac:dyDescent="0.3">
      <c r="A40" s="550"/>
      <c r="B40" s="5" t="s">
        <v>453</v>
      </c>
      <c r="C40" s="10">
        <f>0.0019</f>
        <v>1.9E-3</v>
      </c>
      <c r="D40" s="11"/>
      <c r="E40" s="11" t="s">
        <v>3</v>
      </c>
      <c r="F40" s="5" t="s">
        <v>478</v>
      </c>
      <c r="G40" s="11"/>
      <c r="H40" s="5" t="s">
        <v>5</v>
      </c>
      <c r="I40" s="5" t="s">
        <v>484</v>
      </c>
      <c r="J40" s="438">
        <f t="shared" si="3"/>
        <v>1.9E-3</v>
      </c>
      <c r="K40" s="11" t="s">
        <v>3</v>
      </c>
      <c r="L40" s="5"/>
    </row>
    <row r="41" spans="1:12" x14ac:dyDescent="0.3">
      <c r="A41" s="550"/>
      <c r="B41" s="5" t="s">
        <v>449</v>
      </c>
      <c r="C41" s="10">
        <f>SUM(C40,C39,C33)</f>
        <v>8.8999999999999999E-3</v>
      </c>
      <c r="D41" s="11"/>
      <c r="E41" s="11" t="s">
        <v>3</v>
      </c>
      <c r="F41" s="5" t="s">
        <v>478</v>
      </c>
      <c r="G41" s="11"/>
      <c r="H41" s="5" t="s">
        <v>5</v>
      </c>
      <c r="I41" s="5" t="s">
        <v>481</v>
      </c>
      <c r="J41" s="438">
        <f>C41</f>
        <v>8.8999999999999999E-3</v>
      </c>
      <c r="K41" s="11" t="s">
        <v>3</v>
      </c>
      <c r="L41" s="5"/>
    </row>
    <row r="42" spans="1:12" ht="14.55" customHeight="1" x14ac:dyDescent="0.3">
      <c r="A42" s="550"/>
      <c r="B42" s="5" t="s">
        <v>500</v>
      </c>
      <c r="C42" s="10">
        <v>5.7000000000000002E-3</v>
      </c>
      <c r="D42" s="11"/>
      <c r="E42" s="11" t="s">
        <v>3</v>
      </c>
      <c r="F42" s="5" t="s">
        <v>478</v>
      </c>
      <c r="G42" s="11"/>
      <c r="H42" s="5" t="s">
        <v>5</v>
      </c>
      <c r="I42" t="s">
        <v>485</v>
      </c>
      <c r="J42" s="438">
        <f t="shared" si="3"/>
        <v>5.7000000000000002E-3</v>
      </c>
      <c r="K42" s="11" t="s">
        <v>3</v>
      </c>
      <c r="L42" s="5"/>
    </row>
    <row r="43" spans="1:12" x14ac:dyDescent="0.3">
      <c r="A43" s="550"/>
      <c r="B43" s="5" t="s">
        <v>450</v>
      </c>
      <c r="C43" s="10">
        <v>5.7000000000000002E-3</v>
      </c>
      <c r="D43" s="11"/>
      <c r="E43" s="11" t="s">
        <v>3</v>
      </c>
      <c r="F43" s="5" t="s">
        <v>478</v>
      </c>
      <c r="G43" s="11"/>
      <c r="H43" s="5" t="s">
        <v>5</v>
      </c>
      <c r="I43" s="11" t="s">
        <v>486</v>
      </c>
      <c r="J43" s="438">
        <f t="shared" si="3"/>
        <v>5.7000000000000002E-3</v>
      </c>
      <c r="K43" s="11" t="s">
        <v>3</v>
      </c>
      <c r="L43" s="5"/>
    </row>
    <row r="44" spans="1:12" x14ac:dyDescent="0.3">
      <c r="A44" s="551"/>
      <c r="B44" s="202"/>
      <c r="C44" s="258"/>
      <c r="D44" s="203"/>
      <c r="E44" s="203"/>
      <c r="F44" s="202"/>
      <c r="G44" s="203"/>
      <c r="H44" s="202" t="s">
        <v>5</v>
      </c>
      <c r="I44" s="4" t="s">
        <v>658</v>
      </c>
      <c r="J44" s="369">
        <v>2E-8</v>
      </c>
      <c r="K44" s="4" t="s">
        <v>22</v>
      </c>
      <c r="L44" s="202" t="s">
        <v>662</v>
      </c>
    </row>
    <row r="45" spans="1:12" x14ac:dyDescent="0.3">
      <c r="A45" s="557" t="s">
        <v>456</v>
      </c>
      <c r="B45" s="5" t="s">
        <v>442</v>
      </c>
      <c r="C45" s="218">
        <v>1</v>
      </c>
      <c r="D45" s="11"/>
      <c r="E45" s="11"/>
      <c r="F45" s="5" t="s">
        <v>478</v>
      </c>
      <c r="G45" s="5"/>
      <c r="H45" s="5" t="s">
        <v>5</v>
      </c>
      <c r="I45" s="5" t="s">
        <v>444</v>
      </c>
      <c r="J45" s="438">
        <v>1</v>
      </c>
      <c r="K45" s="11" t="s">
        <v>3</v>
      </c>
      <c r="L45" s="5"/>
    </row>
    <row r="46" spans="1:12" x14ac:dyDescent="0.3">
      <c r="A46" s="550"/>
      <c r="B46" s="5" t="s">
        <v>459</v>
      </c>
      <c r="C46" s="218">
        <v>1.4E-3</v>
      </c>
      <c r="D46" s="11"/>
      <c r="E46" s="11" t="s">
        <v>3</v>
      </c>
      <c r="F46" s="5" t="s">
        <v>478</v>
      </c>
      <c r="G46" s="11"/>
      <c r="H46" s="5" t="s">
        <v>5</v>
      </c>
      <c r="I46" s="5" t="s">
        <v>480</v>
      </c>
      <c r="J46" s="438">
        <f>C46</f>
        <v>1.4E-3</v>
      </c>
      <c r="K46" s="11" t="s">
        <v>3</v>
      </c>
      <c r="L46" s="5"/>
    </row>
    <row r="47" spans="1:12" ht="28.8" x14ac:dyDescent="0.3">
      <c r="A47" s="550"/>
      <c r="B47" s="5" t="s">
        <v>454</v>
      </c>
      <c r="C47" s="218">
        <v>1.4E-3</v>
      </c>
      <c r="D47" s="11"/>
      <c r="E47" s="11" t="s">
        <v>3</v>
      </c>
      <c r="F47" s="5" t="s">
        <v>478</v>
      </c>
      <c r="G47" s="11"/>
      <c r="H47" s="5" t="s">
        <v>5</v>
      </c>
      <c r="I47" s="5" t="s">
        <v>482</v>
      </c>
      <c r="J47" s="438">
        <f t="shared" ref="J47:J59" si="4">C47</f>
        <v>1.4E-3</v>
      </c>
      <c r="K47" s="11" t="s">
        <v>3</v>
      </c>
      <c r="L47" s="5"/>
    </row>
    <row r="48" spans="1:12" ht="28.8" x14ac:dyDescent="0.3">
      <c r="A48" s="550"/>
      <c r="B48" s="5" t="s">
        <v>488</v>
      </c>
      <c r="C48" s="218">
        <v>0.12</v>
      </c>
      <c r="D48" s="11"/>
      <c r="E48" s="11" t="s">
        <v>3</v>
      </c>
      <c r="F48" s="5" t="s">
        <v>478</v>
      </c>
      <c r="G48" s="11"/>
      <c r="H48" s="5" t="s">
        <v>5</v>
      </c>
      <c r="I48" s="5" t="s">
        <v>12</v>
      </c>
      <c r="J48" s="438">
        <f t="shared" si="4"/>
        <v>0.12</v>
      </c>
      <c r="K48" s="11" t="s">
        <v>3</v>
      </c>
      <c r="L48" s="5"/>
    </row>
    <row r="49" spans="1:12" ht="28.8" x14ac:dyDescent="0.3">
      <c r="A49" s="550"/>
      <c r="B49" s="5" t="s">
        <v>461</v>
      </c>
      <c r="C49" s="218">
        <v>0.12</v>
      </c>
      <c r="D49" s="11"/>
      <c r="E49" s="11" t="s">
        <v>3</v>
      </c>
      <c r="F49" s="5" t="s">
        <v>478</v>
      </c>
      <c r="G49" s="11"/>
      <c r="H49" s="5" t="s">
        <v>5</v>
      </c>
      <c r="I49" s="5" t="s">
        <v>487</v>
      </c>
      <c r="J49" s="438">
        <f t="shared" si="4"/>
        <v>0.12</v>
      </c>
      <c r="K49" s="11" t="s">
        <v>3</v>
      </c>
      <c r="L49" s="5"/>
    </row>
    <row r="50" spans="1:12" x14ac:dyDescent="0.3">
      <c r="A50" s="550"/>
      <c r="B50" s="5" t="s">
        <v>465</v>
      </c>
      <c r="C50" s="218">
        <v>4.3999999999999997E-2</v>
      </c>
      <c r="D50" s="11"/>
      <c r="E50" s="11" t="s">
        <v>3</v>
      </c>
      <c r="F50" s="5" t="s">
        <v>478</v>
      </c>
      <c r="G50" s="11"/>
      <c r="H50" s="5" t="s">
        <v>5</v>
      </c>
      <c r="I50" s="5" t="s">
        <v>489</v>
      </c>
      <c r="J50" s="438">
        <f t="shared" si="4"/>
        <v>4.3999999999999997E-2</v>
      </c>
      <c r="K50" s="11" t="s">
        <v>3</v>
      </c>
      <c r="L50" s="5"/>
    </row>
    <row r="51" spans="1:12" x14ac:dyDescent="0.3">
      <c r="A51" s="550"/>
      <c r="B51" s="5" t="s">
        <v>466</v>
      </c>
      <c r="C51" s="218">
        <v>3.5999999999999999E-3</v>
      </c>
      <c r="D51" s="11"/>
      <c r="E51" s="11" t="s">
        <v>3</v>
      </c>
      <c r="F51" s="5" t="s">
        <v>478</v>
      </c>
      <c r="G51" s="11"/>
      <c r="H51" s="5" t="s">
        <v>5</v>
      </c>
      <c r="I51" s="5" t="s">
        <v>504</v>
      </c>
      <c r="J51" s="438">
        <f t="shared" si="4"/>
        <v>3.5999999999999999E-3</v>
      </c>
      <c r="K51" s="11" t="s">
        <v>3</v>
      </c>
      <c r="L51" s="5"/>
    </row>
    <row r="52" spans="1:12" ht="28.8" x14ac:dyDescent="0.3">
      <c r="A52" s="550"/>
      <c r="B52" s="5" t="s">
        <v>467</v>
      </c>
      <c r="C52" s="218">
        <v>5.7000000000000002E-2</v>
      </c>
      <c r="D52" s="11"/>
      <c r="E52" s="11" t="s">
        <v>3</v>
      </c>
      <c r="F52" s="5" t="s">
        <v>478</v>
      </c>
      <c r="G52" s="11"/>
      <c r="H52" s="5" t="s">
        <v>5</v>
      </c>
      <c r="I52" s="5" t="s">
        <v>273</v>
      </c>
      <c r="J52" s="438">
        <f t="shared" si="4"/>
        <v>5.7000000000000002E-2</v>
      </c>
      <c r="K52" s="11" t="s">
        <v>3</v>
      </c>
      <c r="L52" s="5"/>
    </row>
    <row r="53" spans="1:12" x14ac:dyDescent="0.3">
      <c r="A53" s="550"/>
      <c r="B53" s="5" t="s">
        <v>468</v>
      </c>
      <c r="C53" s="218">
        <v>0.27</v>
      </c>
      <c r="D53" s="11"/>
      <c r="E53" s="11" t="s">
        <v>3</v>
      </c>
      <c r="F53" s="5" t="s">
        <v>478</v>
      </c>
      <c r="G53" s="11"/>
      <c r="H53" s="5" t="s">
        <v>5</v>
      </c>
      <c r="I53" s="5" t="s">
        <v>53</v>
      </c>
      <c r="J53" s="438">
        <f t="shared" si="4"/>
        <v>0.27</v>
      </c>
      <c r="K53" s="11" t="s">
        <v>3</v>
      </c>
      <c r="L53" s="573" t="s">
        <v>490</v>
      </c>
    </row>
    <row r="54" spans="1:12" ht="28.8" x14ac:dyDescent="0.3">
      <c r="A54" s="550"/>
      <c r="B54" s="5" t="s">
        <v>463</v>
      </c>
      <c r="C54" s="218">
        <v>0.27</v>
      </c>
      <c r="D54" s="11"/>
      <c r="E54" s="11" t="s">
        <v>3</v>
      </c>
      <c r="F54" s="5" t="s">
        <v>478</v>
      </c>
      <c r="G54" s="11"/>
      <c r="H54" s="5" t="s">
        <v>5</v>
      </c>
      <c r="I54" s="5" t="s">
        <v>505</v>
      </c>
      <c r="J54" s="438">
        <f t="shared" si="4"/>
        <v>0.27</v>
      </c>
      <c r="K54" s="11" t="s">
        <v>3</v>
      </c>
      <c r="L54" s="573"/>
    </row>
    <row r="55" spans="1:12" x14ac:dyDescent="0.3">
      <c r="A55" s="550"/>
      <c r="B55" s="5" t="s">
        <v>469</v>
      </c>
      <c r="C55" s="218">
        <v>3.2000000000000001E-2</v>
      </c>
      <c r="D55" s="11"/>
      <c r="E55" s="11" t="s">
        <v>3</v>
      </c>
      <c r="F55" s="5" t="s">
        <v>478</v>
      </c>
      <c r="G55" s="11"/>
      <c r="H55" s="5" t="s">
        <v>5</v>
      </c>
      <c r="I55" s="5" t="s">
        <v>491</v>
      </c>
      <c r="J55" s="438">
        <f t="shared" si="4"/>
        <v>3.2000000000000001E-2</v>
      </c>
      <c r="K55" s="11" t="s">
        <v>3</v>
      </c>
      <c r="L55" s="5"/>
    </row>
    <row r="56" spans="1:12" x14ac:dyDescent="0.3">
      <c r="A56" s="550"/>
      <c r="B56" s="5" t="s">
        <v>470</v>
      </c>
      <c r="C56" s="218">
        <v>1.6E-2</v>
      </c>
      <c r="D56" s="11"/>
      <c r="E56" s="11" t="s">
        <v>3</v>
      </c>
      <c r="F56" s="5" t="s">
        <v>478</v>
      </c>
      <c r="G56" s="11"/>
      <c r="H56" s="5" t="s">
        <v>5</v>
      </c>
      <c r="I56" s="5" t="s">
        <v>492</v>
      </c>
      <c r="J56" s="438">
        <f t="shared" si="4"/>
        <v>1.6E-2</v>
      </c>
      <c r="K56" s="11" t="s">
        <v>3</v>
      </c>
      <c r="L56" s="5"/>
    </row>
    <row r="57" spans="1:12" ht="28.8" x14ac:dyDescent="0.3">
      <c r="A57" s="550"/>
      <c r="B57" s="5" t="s">
        <v>464</v>
      </c>
      <c r="C57" s="218">
        <v>1.6E-2</v>
      </c>
      <c r="D57" s="11"/>
      <c r="E57" s="11" t="s">
        <v>3</v>
      </c>
      <c r="F57" s="5" t="s">
        <v>478</v>
      </c>
      <c r="G57" s="11"/>
      <c r="H57" s="5" t="s">
        <v>5</v>
      </c>
      <c r="I57" s="5" t="s">
        <v>493</v>
      </c>
      <c r="J57" s="357">
        <f t="shared" si="4"/>
        <v>1.6E-2</v>
      </c>
      <c r="K57" s="11" t="s">
        <v>3</v>
      </c>
      <c r="L57" s="5"/>
    </row>
    <row r="58" spans="1:12" x14ac:dyDescent="0.3">
      <c r="A58" s="550"/>
      <c r="B58" s="5" t="s">
        <v>460</v>
      </c>
      <c r="C58" s="218">
        <v>0.45</v>
      </c>
      <c r="D58" s="11"/>
      <c r="E58" s="11" t="s">
        <v>3</v>
      </c>
      <c r="F58" s="5" t="s">
        <v>478</v>
      </c>
      <c r="G58" s="11"/>
      <c r="H58" s="5" t="s">
        <v>5</v>
      </c>
      <c r="I58" s="5" t="s">
        <v>494</v>
      </c>
      <c r="J58" s="439">
        <f t="shared" si="4"/>
        <v>0.45</v>
      </c>
      <c r="K58" s="11" t="s">
        <v>3</v>
      </c>
      <c r="L58" s="5"/>
    </row>
    <row r="59" spans="1:12" x14ac:dyDescent="0.3">
      <c r="A59" s="550"/>
      <c r="B59" s="5" t="s">
        <v>462</v>
      </c>
      <c r="C59" s="218">
        <f>SUM(C55,C52,C51,C50)</f>
        <v>0.1366</v>
      </c>
      <c r="D59" s="11"/>
      <c r="E59" s="11" t="s">
        <v>3</v>
      </c>
      <c r="F59" s="5" t="s">
        <v>478</v>
      </c>
      <c r="G59" s="11"/>
      <c r="H59" s="5" t="s">
        <v>5</v>
      </c>
      <c r="I59" s="5" t="s">
        <v>481</v>
      </c>
      <c r="J59" s="357">
        <f t="shared" si="4"/>
        <v>0.1366</v>
      </c>
      <c r="K59" s="11" t="s">
        <v>3</v>
      </c>
      <c r="L59" s="5"/>
    </row>
    <row r="60" spans="1:12" x14ac:dyDescent="0.3">
      <c r="A60" s="551"/>
      <c r="B60" s="202"/>
      <c r="C60" s="258"/>
      <c r="D60" s="203"/>
      <c r="E60" s="203"/>
      <c r="F60" s="202"/>
      <c r="G60" s="203"/>
      <c r="H60" s="202" t="s">
        <v>5</v>
      </c>
      <c r="I60" s="4" t="s">
        <v>658</v>
      </c>
      <c r="J60" s="370">
        <v>2E-8</v>
      </c>
      <c r="K60" s="4" t="s">
        <v>22</v>
      </c>
      <c r="L60" s="202"/>
    </row>
    <row r="61" spans="1:12" x14ac:dyDescent="0.3">
      <c r="A61" s="557" t="s">
        <v>471</v>
      </c>
      <c r="B61" s="5" t="s">
        <v>472</v>
      </c>
      <c r="C61" s="218">
        <v>1</v>
      </c>
      <c r="D61" s="11"/>
      <c r="E61" s="11" t="s">
        <v>3</v>
      </c>
      <c r="F61" s="5" t="s">
        <v>478</v>
      </c>
      <c r="G61" s="11"/>
      <c r="H61" s="5" t="s">
        <v>5</v>
      </c>
      <c r="I61" s="5" t="s">
        <v>443</v>
      </c>
      <c r="J61" s="357">
        <v>1</v>
      </c>
      <c r="K61" s="11" t="s">
        <v>3</v>
      </c>
      <c r="L61" s="5"/>
    </row>
    <row r="62" spans="1:12" x14ac:dyDescent="0.3">
      <c r="A62" s="550"/>
      <c r="B62" s="5" t="s">
        <v>474</v>
      </c>
      <c r="C62" s="218">
        <v>2.9000000000000001E-2</v>
      </c>
      <c r="D62" s="11"/>
      <c r="E62" s="11" t="s">
        <v>3</v>
      </c>
      <c r="F62" s="5" t="s">
        <v>478</v>
      </c>
      <c r="G62" s="11"/>
      <c r="H62" s="5" t="s">
        <v>5</v>
      </c>
      <c r="I62" s="5" t="s">
        <v>484</v>
      </c>
      <c r="J62" s="357">
        <f>C62</f>
        <v>2.9000000000000001E-2</v>
      </c>
      <c r="K62" s="11" t="s">
        <v>3</v>
      </c>
      <c r="L62" s="5"/>
    </row>
    <row r="63" spans="1:12" x14ac:dyDescent="0.3">
      <c r="A63" s="550"/>
      <c r="B63" s="5" t="s">
        <v>473</v>
      </c>
      <c r="C63" s="218">
        <v>2.9000000000000001E-2</v>
      </c>
      <c r="D63" s="11"/>
      <c r="E63" s="11" t="s">
        <v>3</v>
      </c>
      <c r="F63" s="5" t="s">
        <v>478</v>
      </c>
      <c r="G63" s="11"/>
      <c r="H63" s="5" t="s">
        <v>5</v>
      </c>
      <c r="I63" s="5" t="s">
        <v>481</v>
      </c>
      <c r="J63" s="357">
        <f t="shared" ref="J63:J64" si="5">C63</f>
        <v>2.9000000000000001E-2</v>
      </c>
      <c r="K63" s="11" t="s">
        <v>3</v>
      </c>
      <c r="L63" s="5"/>
    </row>
    <row r="64" spans="1:12" x14ac:dyDescent="0.3">
      <c r="A64" s="550"/>
      <c r="B64" s="5" t="s">
        <v>475</v>
      </c>
      <c r="C64" s="218">
        <v>0.97</v>
      </c>
      <c r="D64" s="11"/>
      <c r="E64" s="11" t="s">
        <v>3</v>
      </c>
      <c r="F64" s="5" t="s">
        <v>478</v>
      </c>
      <c r="G64" s="11"/>
      <c r="H64" s="5" t="s">
        <v>5</v>
      </c>
      <c r="I64" s="5" t="s">
        <v>337</v>
      </c>
      <c r="J64" s="357">
        <f t="shared" si="5"/>
        <v>0.97</v>
      </c>
      <c r="K64" s="11" t="s">
        <v>3</v>
      </c>
      <c r="L64" s="5"/>
    </row>
    <row r="65" spans="1:12" x14ac:dyDescent="0.3">
      <c r="A65" s="551"/>
      <c r="B65" s="202"/>
      <c r="C65" s="258"/>
      <c r="D65" s="203"/>
      <c r="E65" s="203"/>
      <c r="F65" s="202"/>
      <c r="G65" s="203"/>
      <c r="H65" s="202" t="s">
        <v>5</v>
      </c>
      <c r="I65" s="4" t="s">
        <v>658</v>
      </c>
      <c r="J65" s="370">
        <v>2E-8</v>
      </c>
      <c r="K65" s="4" t="s">
        <v>22</v>
      </c>
      <c r="L65" s="202"/>
    </row>
    <row r="66" spans="1:12" x14ac:dyDescent="0.3">
      <c r="A66" s="550" t="s">
        <v>578</v>
      </c>
      <c r="B66" s="448" t="s">
        <v>72</v>
      </c>
      <c r="C66" s="408">
        <f>SUM(C67:C76)</f>
        <v>5.723097872340429E-2</v>
      </c>
      <c r="D66" s="300"/>
      <c r="E66" s="297" t="s">
        <v>69</v>
      </c>
      <c r="F66" s="295" t="s">
        <v>100</v>
      </c>
      <c r="G66" s="50"/>
      <c r="H66" s="50" t="s">
        <v>5</v>
      </c>
      <c r="I66" s="42" t="s">
        <v>734</v>
      </c>
      <c r="J66" s="440">
        <v>1</v>
      </c>
      <c r="K66" s="42" t="s">
        <v>3</v>
      </c>
      <c r="L66" s="50"/>
    </row>
    <row r="67" spans="1:12" ht="14.55" customHeight="1" x14ac:dyDescent="0.3">
      <c r="A67" s="550"/>
      <c r="B67" s="449" t="s">
        <v>79</v>
      </c>
      <c r="C67" s="301">
        <v>2.9020425531914888E-3</v>
      </c>
      <c r="D67" s="302">
        <f>C67/$C$66</f>
        <v>5.0707547169811282E-2</v>
      </c>
      <c r="E67" s="303"/>
      <c r="F67" s="17" t="s">
        <v>100</v>
      </c>
      <c r="G67" s="139"/>
      <c r="H67" s="16" t="s">
        <v>5</v>
      </c>
      <c r="I67" s="139" t="s">
        <v>53</v>
      </c>
      <c r="J67" s="257">
        <f>D67</f>
        <v>5.0707547169811282E-2</v>
      </c>
      <c r="K67" s="42" t="s">
        <v>3</v>
      </c>
      <c r="L67" s="16" t="s">
        <v>497</v>
      </c>
    </row>
    <row r="68" spans="1:12" ht="14.55" customHeight="1" x14ac:dyDescent="0.3">
      <c r="A68" s="550"/>
      <c r="B68" s="449"/>
      <c r="C68" s="426"/>
      <c r="D68" s="302"/>
      <c r="E68" s="303"/>
      <c r="F68" s="17"/>
      <c r="G68" s="140"/>
      <c r="H68" s="16" t="s">
        <v>5</v>
      </c>
      <c r="I68" s="140" t="s">
        <v>14</v>
      </c>
      <c r="J68" s="436">
        <f>J67</f>
        <v>5.0707547169811282E-2</v>
      </c>
      <c r="K68" s="42" t="s">
        <v>3</v>
      </c>
    </row>
    <row r="69" spans="1:12" ht="28.8" x14ac:dyDescent="0.3">
      <c r="A69" s="550"/>
      <c r="B69" s="449" t="s">
        <v>80</v>
      </c>
      <c r="C69" s="301">
        <v>7.4238297872340417E-4</v>
      </c>
      <c r="D69" s="302">
        <f>C69/$C$66</f>
        <v>1.2971698113207537E-2</v>
      </c>
      <c r="E69" s="303"/>
      <c r="F69" s="17" t="s">
        <v>100</v>
      </c>
      <c r="G69" s="61"/>
      <c r="H69" s="16" t="s">
        <v>5</v>
      </c>
      <c r="I69" s="61" t="s">
        <v>495</v>
      </c>
      <c r="J69" s="437">
        <f>D69</f>
        <v>1.2971698113207537E-2</v>
      </c>
      <c r="K69" s="42" t="s">
        <v>3</v>
      </c>
      <c r="L69" s="25" t="s">
        <v>496</v>
      </c>
    </row>
    <row r="70" spans="1:12" x14ac:dyDescent="0.3">
      <c r="A70" s="550"/>
      <c r="B70" s="449" t="s">
        <v>83</v>
      </c>
      <c r="C70" s="301">
        <v>2.0255447148936186E-2</v>
      </c>
      <c r="D70" s="302">
        <f>C70/$C$66</f>
        <v>0.35392452830188686</v>
      </c>
      <c r="E70" s="303"/>
      <c r="F70" s="17" t="s">
        <v>100</v>
      </c>
      <c r="H70" s="16" t="s">
        <v>5</v>
      </c>
      <c r="I70" s="131" t="s">
        <v>12</v>
      </c>
      <c r="J70" s="171">
        <f t="shared" ref="J70:J76" si="6">D70</f>
        <v>0.35392452830188686</v>
      </c>
      <c r="K70" s="15" t="s">
        <v>3</v>
      </c>
      <c r="L70" s="16" t="s">
        <v>372</v>
      </c>
    </row>
    <row r="71" spans="1:12" x14ac:dyDescent="0.3">
      <c r="A71" s="550"/>
      <c r="B71" s="449"/>
      <c r="C71" s="426"/>
      <c r="D71" s="302"/>
      <c r="E71" s="303"/>
      <c r="F71" s="17"/>
      <c r="H71" s="16" t="s">
        <v>5</v>
      </c>
      <c r="I71" s="5" t="s">
        <v>516</v>
      </c>
      <c r="J71" s="171">
        <f>J70</f>
        <v>0.35392452830188686</v>
      </c>
      <c r="K71" s="15" t="s">
        <v>3</v>
      </c>
      <c r="L71" s="139" t="s">
        <v>514</v>
      </c>
    </row>
    <row r="72" spans="1:12" ht="43.2" x14ac:dyDescent="0.3">
      <c r="A72" s="550"/>
      <c r="B72" s="449" t="s">
        <v>84</v>
      </c>
      <c r="C72" s="301">
        <v>1.2148085106382977E-3</v>
      </c>
      <c r="D72" s="302">
        <f>C72/$C$66</f>
        <v>2.1226415094339608E-2</v>
      </c>
      <c r="E72" s="303"/>
      <c r="F72" s="17" t="s">
        <v>100</v>
      </c>
      <c r="G72" s="16" t="s">
        <v>373</v>
      </c>
      <c r="H72" s="16" t="s">
        <v>5</v>
      </c>
      <c r="I72" t="s">
        <v>336</v>
      </c>
      <c r="J72" s="171">
        <f t="shared" si="6"/>
        <v>2.1226415094339608E-2</v>
      </c>
      <c r="K72" s="15" t="s">
        <v>3</v>
      </c>
    </row>
    <row r="73" spans="1:12" x14ac:dyDescent="0.3">
      <c r="A73" s="550"/>
      <c r="B73" s="449"/>
      <c r="C73" s="426"/>
      <c r="D73" s="302"/>
      <c r="E73" s="303"/>
      <c r="F73" s="17"/>
      <c r="H73" s="16" t="s">
        <v>5</v>
      </c>
      <c r="I73" s="16" t="s">
        <v>274</v>
      </c>
      <c r="J73" s="171">
        <f>J72</f>
        <v>2.1226415094339608E-2</v>
      </c>
      <c r="K73" s="15" t="s">
        <v>3</v>
      </c>
    </row>
    <row r="74" spans="1:12" x14ac:dyDescent="0.3">
      <c r="A74" s="550"/>
      <c r="B74" s="449" t="s">
        <v>81</v>
      </c>
      <c r="C74" s="301">
        <v>2.4557489021276618E-2</v>
      </c>
      <c r="D74" s="302">
        <f>C74/$C$66</f>
        <v>0.42909433962264165</v>
      </c>
      <c r="E74" s="303"/>
      <c r="F74" s="17" t="s">
        <v>100</v>
      </c>
      <c r="H74" s="16" t="s">
        <v>5</v>
      </c>
      <c r="I74" s="11" t="s">
        <v>12</v>
      </c>
      <c r="J74" s="171">
        <f t="shared" ref="J74" si="7">D74</f>
        <v>0.42909433962264165</v>
      </c>
      <c r="K74" s="15" t="s">
        <v>3</v>
      </c>
    </row>
    <row r="75" spans="1:12" x14ac:dyDescent="0.3">
      <c r="A75" s="550"/>
      <c r="B75" s="449"/>
      <c r="C75" s="426"/>
      <c r="D75" s="302"/>
      <c r="E75" s="303"/>
      <c r="F75" s="17"/>
      <c r="H75" s="16" t="s">
        <v>5</v>
      </c>
      <c r="I75" t="s">
        <v>13</v>
      </c>
      <c r="J75" s="171">
        <f>J74</f>
        <v>0.42909433962264165</v>
      </c>
      <c r="K75" s="15" t="s">
        <v>3</v>
      </c>
    </row>
    <row r="76" spans="1:12" x14ac:dyDescent="0.3">
      <c r="A76" s="550"/>
      <c r="B76" s="449" t="s">
        <v>338</v>
      </c>
      <c r="C76" s="301">
        <v>7.5588085106382975E-3</v>
      </c>
      <c r="D76" s="302">
        <f>C76/$C$66</f>
        <v>0.13207547169811312</v>
      </c>
      <c r="E76" s="303"/>
      <c r="F76" s="17" t="s">
        <v>100</v>
      </c>
      <c r="H76" s="16" t="s">
        <v>5</v>
      </c>
      <c r="I76" s="16" t="s">
        <v>337</v>
      </c>
      <c r="J76" s="171">
        <f t="shared" si="6"/>
        <v>0.13207547169811312</v>
      </c>
      <c r="K76" s="15" t="s">
        <v>3</v>
      </c>
    </row>
    <row r="77" spans="1:12" ht="15" x14ac:dyDescent="0.3">
      <c r="A77" s="550"/>
      <c r="B77" s="447"/>
      <c r="C77" s="276"/>
      <c r="D77" s="276"/>
      <c r="E77" s="140"/>
      <c r="F77" s="140"/>
      <c r="G77" s="140"/>
      <c r="H77" s="16" t="s">
        <v>5</v>
      </c>
      <c r="I77" s="140" t="s">
        <v>381</v>
      </c>
      <c r="J77" s="251">
        <v>4.5800000000000002E-10</v>
      </c>
      <c r="K77" s="105" t="s">
        <v>22</v>
      </c>
      <c r="L77" s="231" t="s">
        <v>995</v>
      </c>
    </row>
    <row r="78" spans="1:12" ht="12.45" customHeight="1" x14ac:dyDescent="0.3">
      <c r="A78" s="402"/>
      <c r="B78" s="107" t="s">
        <v>85</v>
      </c>
      <c r="C78" s="255" t="s">
        <v>69</v>
      </c>
      <c r="D78" s="304" t="s">
        <v>69</v>
      </c>
      <c r="E78" s="89" t="s">
        <v>4</v>
      </c>
      <c r="F78" s="107"/>
      <c r="G78" s="89" t="s">
        <v>342</v>
      </c>
      <c r="H78" s="89"/>
      <c r="I78" s="305"/>
      <c r="J78" s="441" t="s">
        <v>69</v>
      </c>
      <c r="K78" s="73"/>
      <c r="L78" s="89"/>
    </row>
    <row r="79" spans="1:12" x14ac:dyDescent="0.3">
      <c r="A79" s="552" t="s">
        <v>567</v>
      </c>
      <c r="B79" s="450" t="s">
        <v>589</v>
      </c>
      <c r="C79" s="306">
        <f>SUM(C80:C94)</f>
        <v>0.70830085106382901</v>
      </c>
      <c r="D79" s="51"/>
      <c r="E79" s="297"/>
      <c r="F79" s="295" t="s">
        <v>100</v>
      </c>
      <c r="G79" s="50"/>
      <c r="H79" s="50" t="s">
        <v>7</v>
      </c>
      <c r="I79" s="68" t="s">
        <v>944</v>
      </c>
      <c r="J79" s="440">
        <v>1</v>
      </c>
      <c r="K79" s="42" t="s">
        <v>3</v>
      </c>
      <c r="L79" s="50"/>
    </row>
    <row r="80" spans="1:12" x14ac:dyDescent="0.3">
      <c r="A80" s="553"/>
      <c r="B80" s="17" t="s">
        <v>10</v>
      </c>
      <c r="C80" s="427">
        <f>C100</f>
        <v>0.1050809361702128</v>
      </c>
      <c r="D80" s="30">
        <f>C80/$C$79</f>
        <v>0.14835636017151047</v>
      </c>
      <c r="E80" s="307"/>
      <c r="F80" s="17" t="s">
        <v>624</v>
      </c>
      <c r="G80" s="23"/>
      <c r="H80" s="23" t="s">
        <v>5</v>
      </c>
      <c r="I80" s="16" t="s">
        <v>256</v>
      </c>
      <c r="J80" s="171">
        <f>D80</f>
        <v>0.14835636017151047</v>
      </c>
      <c r="K80" s="15" t="s">
        <v>3</v>
      </c>
    </row>
    <row r="81" spans="1:12" ht="14.55" customHeight="1" x14ac:dyDescent="0.3">
      <c r="A81" s="553"/>
      <c r="B81" s="17" t="s">
        <v>9</v>
      </c>
      <c r="C81" s="299">
        <v>1.3063240851063789E-2</v>
      </c>
      <c r="D81" s="30">
        <f t="shared" ref="D81:D94" si="8">C81/$C$79</f>
        <v>1.8443068127679811E-2</v>
      </c>
      <c r="E81" s="307"/>
      <c r="F81" s="17" t="s">
        <v>624</v>
      </c>
      <c r="G81" s="23"/>
      <c r="H81" s="23" t="s">
        <v>5</v>
      </c>
      <c r="I81" s="50" t="s">
        <v>762</v>
      </c>
      <c r="J81" s="171">
        <f t="shared" ref="J81:J94" si="9">D81</f>
        <v>1.8443068127679811E-2</v>
      </c>
      <c r="K81" s="15" t="s">
        <v>3</v>
      </c>
    </row>
    <row r="82" spans="1:12" ht="43.2" x14ac:dyDescent="0.3">
      <c r="A82" s="553"/>
      <c r="B82" s="17" t="s">
        <v>603</v>
      </c>
      <c r="C82" s="299">
        <f>25.6620874042553%*0.6366</f>
        <v>0.16336484841548926</v>
      </c>
      <c r="D82" s="30">
        <f>C82/$C$79</f>
        <v>0.23064330385898058</v>
      </c>
      <c r="E82" s="307"/>
      <c r="F82" s="17" t="s">
        <v>623</v>
      </c>
      <c r="G82" s="25" t="s">
        <v>577</v>
      </c>
      <c r="H82" s="23" t="s">
        <v>5</v>
      </c>
      <c r="I82" s="5" t="s">
        <v>747</v>
      </c>
      <c r="J82" s="171">
        <f t="shared" si="9"/>
        <v>0.23064330385898058</v>
      </c>
      <c r="K82" s="15" t="s">
        <v>3</v>
      </c>
    </row>
    <row r="83" spans="1:12" x14ac:dyDescent="0.3">
      <c r="A83" s="553"/>
      <c r="B83" s="17" t="s">
        <v>593</v>
      </c>
      <c r="C83" s="299">
        <f>25.6620874042553%*0.3634</f>
        <v>9.3256025627063768E-2</v>
      </c>
      <c r="D83" s="30">
        <f t="shared" ref="D83:D85" si="10">C83/$C$79</f>
        <v>0.13166160323963799</v>
      </c>
      <c r="E83" s="307"/>
      <c r="F83" s="17"/>
      <c r="G83" s="25"/>
      <c r="H83" s="23" t="s">
        <v>5</v>
      </c>
      <c r="I83" s="5" t="s">
        <v>748</v>
      </c>
      <c r="J83" s="171">
        <f t="shared" si="9"/>
        <v>0.13166160323963799</v>
      </c>
    </row>
    <row r="84" spans="1:12" ht="57.6" x14ac:dyDescent="0.3">
      <c r="A84" s="553"/>
      <c r="B84" s="17" t="s">
        <v>599</v>
      </c>
      <c r="C84" s="299">
        <f>28.4699822978723%*0.93</f>
        <v>0.2647708353702124</v>
      </c>
      <c r="D84" s="30">
        <f t="shared" si="10"/>
        <v>0.37381126250595509</v>
      </c>
      <c r="E84" s="307"/>
      <c r="F84" s="17"/>
      <c r="G84" s="25" t="s">
        <v>950</v>
      </c>
      <c r="H84" s="23" t="s">
        <v>5</v>
      </c>
      <c r="I84" s="275" t="s">
        <v>946</v>
      </c>
      <c r="J84" s="264">
        <f t="shared" si="9"/>
        <v>0.37381126250595509</v>
      </c>
      <c r="K84" s="15" t="s">
        <v>3</v>
      </c>
    </row>
    <row r="85" spans="1:12" x14ac:dyDescent="0.3">
      <c r="A85" s="553"/>
      <c r="B85" s="17" t="s">
        <v>594</v>
      </c>
      <c r="C85" s="299">
        <f>28.4699822978723%*0.07</f>
        <v>1.9928987608510612E-2</v>
      </c>
      <c r="D85" s="30">
        <f t="shared" si="10"/>
        <v>2.8136331586469741E-2</v>
      </c>
      <c r="E85" s="307"/>
      <c r="F85" s="17"/>
      <c r="G85" s="25"/>
      <c r="H85" s="23" t="s">
        <v>5</v>
      </c>
      <c r="I85" s="5" t="s">
        <v>750</v>
      </c>
      <c r="J85" s="171">
        <f t="shared" si="9"/>
        <v>2.8136331586469741E-2</v>
      </c>
    </row>
    <row r="86" spans="1:12" x14ac:dyDescent="0.3">
      <c r="A86" s="553"/>
      <c r="B86" s="17" t="s">
        <v>115</v>
      </c>
      <c r="C86" s="299">
        <v>2.0921702127659572E-3</v>
      </c>
      <c r="D86" s="30">
        <f t="shared" si="8"/>
        <v>2.953787517865653E-3</v>
      </c>
      <c r="E86" s="307"/>
      <c r="F86" s="17" t="s">
        <v>100</v>
      </c>
      <c r="G86" s="23" t="s">
        <v>318</v>
      </c>
      <c r="H86" s="23" t="s">
        <v>5</v>
      </c>
      <c r="I86" t="s">
        <v>273</v>
      </c>
      <c r="J86" s="171">
        <f t="shared" si="9"/>
        <v>2.953787517865653E-3</v>
      </c>
      <c r="K86" s="15" t="s">
        <v>3</v>
      </c>
    </row>
    <row r="87" spans="1:12" x14ac:dyDescent="0.3">
      <c r="A87" s="553"/>
      <c r="B87" s="17"/>
      <c r="C87" s="19"/>
      <c r="D87" s="30"/>
      <c r="E87" s="307"/>
      <c r="F87" s="17"/>
      <c r="G87" s="23"/>
      <c r="H87" s="23" t="s">
        <v>5</v>
      </c>
      <c r="I87" s="16" t="s">
        <v>274</v>
      </c>
      <c r="J87" s="171">
        <f>J86</f>
        <v>2.953787517865653E-3</v>
      </c>
      <c r="L87" s="16" t="s">
        <v>276</v>
      </c>
    </row>
    <row r="88" spans="1:12" x14ac:dyDescent="0.3">
      <c r="A88" s="553"/>
      <c r="B88" s="17" t="s">
        <v>116</v>
      </c>
      <c r="C88" s="299">
        <v>9.0705702127659199E-4</v>
      </c>
      <c r="D88" s="30">
        <f t="shared" si="8"/>
        <v>1.2806098141972329E-3</v>
      </c>
      <c r="E88" s="307"/>
      <c r="F88" s="17" t="s">
        <v>100</v>
      </c>
      <c r="G88" s="23" t="s">
        <v>319</v>
      </c>
      <c r="H88" s="23" t="s">
        <v>5</v>
      </c>
      <c r="I88" t="s">
        <v>275</v>
      </c>
      <c r="J88" s="171">
        <f t="shared" si="9"/>
        <v>1.2806098141972329E-3</v>
      </c>
      <c r="K88" s="15" t="s">
        <v>3</v>
      </c>
    </row>
    <row r="89" spans="1:12" x14ac:dyDescent="0.3">
      <c r="A89" s="553"/>
      <c r="B89" s="17"/>
      <c r="C89" s="19"/>
      <c r="D89" s="30"/>
      <c r="E89" s="307"/>
      <c r="F89" s="17"/>
      <c r="G89" s="23"/>
      <c r="H89" s="23" t="s">
        <v>5</v>
      </c>
      <c r="I89" s="16" t="s">
        <v>274</v>
      </c>
      <c r="J89" s="171">
        <f>J88</f>
        <v>1.2806098141972329E-3</v>
      </c>
      <c r="L89" s="16" t="s">
        <v>276</v>
      </c>
    </row>
    <row r="90" spans="1:12" x14ac:dyDescent="0.3">
      <c r="A90" s="553"/>
      <c r="B90" s="17" t="s">
        <v>110</v>
      </c>
      <c r="C90" s="299">
        <v>1.3422284255319147E-2</v>
      </c>
      <c r="D90" s="30">
        <f t="shared" si="8"/>
        <v>1.8949976179132938E-2</v>
      </c>
      <c r="E90" s="307"/>
      <c r="F90" s="17" t="s">
        <v>100</v>
      </c>
      <c r="G90" s="23" t="s">
        <v>269</v>
      </c>
      <c r="H90" s="23" t="s">
        <v>5</v>
      </c>
      <c r="I90" s="11" t="s">
        <v>12</v>
      </c>
      <c r="J90" s="171">
        <f t="shared" si="9"/>
        <v>1.8949976179132938E-2</v>
      </c>
      <c r="K90" s="15" t="s">
        <v>3</v>
      </c>
    </row>
    <row r="91" spans="1:12" x14ac:dyDescent="0.3">
      <c r="A91" s="553"/>
      <c r="B91" s="17"/>
      <c r="D91" s="30"/>
      <c r="E91" s="307"/>
      <c r="F91" s="17"/>
      <c r="G91" s="23"/>
      <c r="H91" s="23" t="s">
        <v>5</v>
      </c>
      <c r="I91" t="s">
        <v>13</v>
      </c>
      <c r="J91" s="171">
        <f>J90</f>
        <v>1.8949976179132938E-2</v>
      </c>
    </row>
    <row r="92" spans="1:12" x14ac:dyDescent="0.3">
      <c r="A92" s="553"/>
      <c r="B92" s="17" t="s">
        <v>111</v>
      </c>
      <c r="C92" s="299">
        <v>7.6262978723404254E-3</v>
      </c>
      <c r="D92" s="30">
        <f t="shared" si="8"/>
        <v>1.0767031919961898E-2</v>
      </c>
      <c r="E92" s="307"/>
      <c r="F92" s="17" t="s">
        <v>100</v>
      </c>
      <c r="G92" s="23"/>
      <c r="H92" s="23" t="s">
        <v>5</v>
      </c>
      <c r="I92" t="s">
        <v>12</v>
      </c>
      <c r="J92" s="171">
        <f t="shared" si="9"/>
        <v>1.0767031919961898E-2</v>
      </c>
      <c r="K92" s="15" t="s">
        <v>3</v>
      </c>
    </row>
    <row r="93" spans="1:12" x14ac:dyDescent="0.3">
      <c r="A93" s="553"/>
      <c r="B93" s="17"/>
      <c r="D93" s="30"/>
      <c r="E93" s="307"/>
      <c r="F93" s="17"/>
      <c r="G93" s="23"/>
      <c r="H93" s="23" t="s">
        <v>5</v>
      </c>
      <c r="I93" t="s">
        <v>13</v>
      </c>
      <c r="J93" s="171">
        <f>J92</f>
        <v>1.0767031919961898E-2</v>
      </c>
      <c r="L93" s="16" t="s">
        <v>270</v>
      </c>
    </row>
    <row r="94" spans="1:12" x14ac:dyDescent="0.3">
      <c r="A94" s="553"/>
      <c r="B94" s="17" t="s">
        <v>112</v>
      </c>
      <c r="C94" s="299">
        <v>2.4788167659574412E-2</v>
      </c>
      <c r="D94" s="30">
        <f t="shared" si="8"/>
        <v>3.4996665078608824E-2</v>
      </c>
      <c r="E94" s="307"/>
      <c r="F94" s="17" t="s">
        <v>100</v>
      </c>
      <c r="G94" s="23"/>
      <c r="H94" s="23" t="s">
        <v>5</v>
      </c>
      <c r="I94" s="23" t="s">
        <v>271</v>
      </c>
      <c r="J94" s="171">
        <f t="shared" si="9"/>
        <v>3.4996665078608824E-2</v>
      </c>
      <c r="K94" s="15" t="s">
        <v>3</v>
      </c>
      <c r="L94" s="16" t="s">
        <v>272</v>
      </c>
    </row>
    <row r="95" spans="1:12" x14ac:dyDescent="0.3">
      <c r="A95" s="553"/>
      <c r="B95" s="17"/>
      <c r="D95" s="30"/>
      <c r="E95" s="307"/>
      <c r="F95" s="17"/>
      <c r="G95" s="23"/>
      <c r="H95" s="23" t="s">
        <v>5</v>
      </c>
      <c r="I95" t="s">
        <v>14</v>
      </c>
      <c r="J95" s="171">
        <f>J94</f>
        <v>3.4996665078608824E-2</v>
      </c>
      <c r="K95" s="15" t="s">
        <v>3</v>
      </c>
      <c r="L95" s="16" t="s">
        <v>270</v>
      </c>
    </row>
    <row r="96" spans="1:12" ht="43.2" x14ac:dyDescent="0.3">
      <c r="A96" s="553"/>
      <c r="B96" s="23" t="s">
        <v>252</v>
      </c>
      <c r="C96" s="27" t="s">
        <v>254</v>
      </c>
      <c r="D96" s="91"/>
      <c r="E96" s="23" t="s">
        <v>251</v>
      </c>
      <c r="F96" s="16" t="s">
        <v>123</v>
      </c>
      <c r="G96" s="15"/>
      <c r="H96" s="23" t="s">
        <v>5</v>
      </c>
      <c r="I96" s="16" t="s">
        <v>45</v>
      </c>
      <c r="J96" s="223">
        <f>AVERAGE(7,26)*MJ_to_kWh*specific_energy_NCA</f>
        <v>1.0267166114684818</v>
      </c>
      <c r="K96" s="28" t="s">
        <v>4</v>
      </c>
      <c r="L96" s="23"/>
    </row>
    <row r="97" spans="1:13" ht="86.4" x14ac:dyDescent="0.3">
      <c r="A97" s="553"/>
      <c r="B97" s="23" t="s">
        <v>253</v>
      </c>
      <c r="C97" s="27" t="s">
        <v>131</v>
      </c>
      <c r="D97" s="91"/>
      <c r="E97" s="23" t="s">
        <v>251</v>
      </c>
      <c r="F97" s="16" t="s">
        <v>123</v>
      </c>
      <c r="G97" s="144" t="s">
        <v>513</v>
      </c>
      <c r="H97" s="23" t="s">
        <v>5</v>
      </c>
      <c r="I97" s="25" t="s">
        <v>754</v>
      </c>
      <c r="J97" s="223">
        <f>AVERAGE(56,71)*specific_energy_NCA</f>
        <v>14.224680582782501</v>
      </c>
      <c r="K97" s="28" t="s">
        <v>21</v>
      </c>
    </row>
    <row r="98" spans="1:13" ht="28.8" x14ac:dyDescent="0.3">
      <c r="A98" s="553"/>
      <c r="B98" s="23" t="s">
        <v>258</v>
      </c>
      <c r="C98" s="27">
        <f>1.2+4</f>
        <v>5.2</v>
      </c>
      <c r="D98" s="91"/>
      <c r="E98" s="23" t="s">
        <v>251</v>
      </c>
      <c r="F98" s="16" t="s">
        <v>259</v>
      </c>
      <c r="G98" s="15"/>
      <c r="H98" s="23" t="s">
        <v>5</v>
      </c>
      <c r="I98" s="16" t="s">
        <v>45</v>
      </c>
      <c r="J98" s="171">
        <f>C98*MJ_to_kWh*specific_energy_NCA</f>
        <v>0.32357129573552157</v>
      </c>
      <c r="K98" s="28" t="s">
        <v>4</v>
      </c>
      <c r="L98" s="23" t="s">
        <v>231</v>
      </c>
    </row>
    <row r="99" spans="1:13" x14ac:dyDescent="0.3">
      <c r="A99" s="553"/>
      <c r="B99" s="58"/>
      <c r="C99" s="78"/>
      <c r="D99" s="78"/>
      <c r="E99" s="58"/>
      <c r="F99" s="58"/>
      <c r="G99" s="58"/>
      <c r="H99" s="58" t="s">
        <v>5</v>
      </c>
      <c r="I99" s="54" t="s">
        <v>16</v>
      </c>
      <c r="J99" s="259">
        <v>4.0000000000000001E-10</v>
      </c>
      <c r="K99" s="118" t="s">
        <v>22</v>
      </c>
      <c r="L99" s="406"/>
    </row>
    <row r="100" spans="1:13" ht="57.6" x14ac:dyDescent="0.3">
      <c r="A100" s="552" t="s">
        <v>10</v>
      </c>
      <c r="B100" s="295" t="s">
        <v>10</v>
      </c>
      <c r="C100" s="309">
        <v>0.1050809361702128</v>
      </c>
      <c r="D100" s="300"/>
      <c r="E100" s="294"/>
      <c r="F100" s="295" t="s">
        <v>40</v>
      </c>
      <c r="G100" s="294" t="s">
        <v>951</v>
      </c>
      <c r="H100" s="294" t="s">
        <v>7</v>
      </c>
      <c r="I100" s="50" t="s">
        <v>256</v>
      </c>
      <c r="J100" s="440">
        <v>1</v>
      </c>
      <c r="K100" s="42" t="s">
        <v>3</v>
      </c>
      <c r="L100" s="50"/>
    </row>
    <row r="101" spans="1:13" x14ac:dyDescent="0.3">
      <c r="A101" s="553"/>
      <c r="B101" s="17"/>
      <c r="C101" s="311"/>
      <c r="D101" s="311"/>
      <c r="E101" s="23"/>
      <c r="F101" s="17"/>
      <c r="G101" s="23"/>
      <c r="H101" s="23" t="s">
        <v>5</v>
      </c>
      <c r="I101" s="16" t="s">
        <v>16</v>
      </c>
      <c r="J101" s="190">
        <v>4.0000000000000001E-10</v>
      </c>
      <c r="K101" s="28" t="s">
        <v>22</v>
      </c>
    </row>
    <row r="102" spans="1:13" x14ac:dyDescent="0.3">
      <c r="A102" s="553"/>
      <c r="B102" s="18"/>
      <c r="C102" s="311"/>
      <c r="D102" s="311"/>
      <c r="E102" s="23"/>
      <c r="F102" s="17"/>
      <c r="G102" s="23"/>
      <c r="H102" s="23" t="s">
        <v>5</v>
      </c>
      <c r="I102" s="16" t="s">
        <v>45</v>
      </c>
      <c r="J102" s="190">
        <v>0.41599999999999998</v>
      </c>
      <c r="K102" s="485" t="s">
        <v>4</v>
      </c>
      <c r="L102" s="515" t="s">
        <v>1019</v>
      </c>
      <c r="M102" s="76"/>
    </row>
    <row r="103" spans="1:13" ht="28.8" x14ac:dyDescent="0.3">
      <c r="A103" s="553"/>
      <c r="B103" s="16" t="s">
        <v>88</v>
      </c>
      <c r="C103" s="90">
        <v>1.3435782127659611E-2</v>
      </c>
      <c r="D103" s="30">
        <f>C103/$C$100</f>
        <v>0.12786127167630087</v>
      </c>
      <c r="E103" s="23"/>
      <c r="F103" s="17" t="s">
        <v>122</v>
      </c>
      <c r="G103" s="17" t="s">
        <v>576</v>
      </c>
      <c r="H103" s="23" t="s">
        <v>5</v>
      </c>
      <c r="I103" s="15" t="s">
        <v>88</v>
      </c>
      <c r="J103" s="171">
        <f>D103</f>
        <v>0.12786127167630087</v>
      </c>
      <c r="K103" s="15" t="s">
        <v>3</v>
      </c>
    </row>
    <row r="104" spans="1:13" ht="28.8" x14ac:dyDescent="0.3">
      <c r="A104" s="553"/>
      <c r="B104" s="16" t="s">
        <v>89</v>
      </c>
      <c r="C104" s="90">
        <v>4.454297872340425E-2</v>
      </c>
      <c r="D104" s="30">
        <f t="shared" ref="D104:D106" si="11">C104/$C$100</f>
        <v>0.42389210019267803</v>
      </c>
      <c r="E104" s="23"/>
      <c r="F104" s="17" t="s">
        <v>122</v>
      </c>
      <c r="G104" s="17" t="s">
        <v>654</v>
      </c>
      <c r="H104" s="23" t="s">
        <v>5</v>
      </c>
      <c r="I104" s="146" t="s">
        <v>89</v>
      </c>
      <c r="J104" s="171">
        <f t="shared" ref="J104:J106" si="12">D104</f>
        <v>0.42389210019267803</v>
      </c>
      <c r="K104" s="15" t="s">
        <v>3</v>
      </c>
    </row>
    <row r="105" spans="1:13" ht="28.8" x14ac:dyDescent="0.3">
      <c r="A105" s="553"/>
      <c r="B105" s="16" t="s">
        <v>90</v>
      </c>
      <c r="C105" s="90">
        <v>4.454297872340425E-2</v>
      </c>
      <c r="D105" s="30">
        <f t="shared" si="11"/>
        <v>0.42389210019267803</v>
      </c>
      <c r="E105" s="23"/>
      <c r="F105" s="17" t="s">
        <v>122</v>
      </c>
      <c r="G105" s="17" t="s">
        <v>654</v>
      </c>
      <c r="H105" s="23" t="s">
        <v>5</v>
      </c>
      <c r="I105" s="146" t="s">
        <v>90</v>
      </c>
      <c r="J105" s="171">
        <f t="shared" si="12"/>
        <v>0.42389210019267803</v>
      </c>
      <c r="K105" s="15" t="s">
        <v>3</v>
      </c>
    </row>
    <row r="106" spans="1:13" ht="28.8" x14ac:dyDescent="0.3">
      <c r="A106" s="558"/>
      <c r="B106" s="54" t="s">
        <v>707</v>
      </c>
      <c r="C106" s="312">
        <v>2.559196595744689E-3</v>
      </c>
      <c r="D106" s="30">
        <f t="shared" si="11"/>
        <v>2.4354527938343036E-2</v>
      </c>
      <c r="E106" s="58"/>
      <c r="F106" s="53" t="s">
        <v>122</v>
      </c>
      <c r="G106" s="53"/>
      <c r="H106" s="403" t="s">
        <v>5</v>
      </c>
      <c r="I106" s="54" t="s">
        <v>706</v>
      </c>
      <c r="J106" s="442">
        <f t="shared" si="12"/>
        <v>2.4354527938343036E-2</v>
      </c>
      <c r="K106" s="55" t="s">
        <v>3</v>
      </c>
      <c r="L106" s="54" t="s">
        <v>959</v>
      </c>
    </row>
    <row r="107" spans="1:13" ht="158.4" x14ac:dyDescent="0.3">
      <c r="A107" s="550" t="s">
        <v>670</v>
      </c>
      <c r="B107" s="74" t="s">
        <v>751</v>
      </c>
      <c r="C107" s="149">
        <v>1</v>
      </c>
      <c r="D107" s="149"/>
      <c r="E107" s="68" t="s">
        <v>3</v>
      </c>
      <c r="F107" s="68"/>
      <c r="G107" s="68" t="s">
        <v>309</v>
      </c>
      <c r="H107" s="68" t="s">
        <v>155</v>
      </c>
      <c r="I107" s="68" t="s">
        <v>706</v>
      </c>
      <c r="J107" s="149">
        <f>C107</f>
        <v>1</v>
      </c>
      <c r="K107" s="67" t="s">
        <v>3</v>
      </c>
      <c r="L107" s="313" t="s">
        <v>416</v>
      </c>
      <c r="M107" s="67"/>
    </row>
    <row r="108" spans="1:13" ht="28.8" x14ac:dyDescent="0.3">
      <c r="A108" s="550"/>
      <c r="B108" s="75"/>
      <c r="C108" s="51"/>
      <c r="D108" s="51"/>
      <c r="E108" s="50"/>
      <c r="F108" s="50"/>
      <c r="G108" s="50"/>
      <c r="H108" s="50" t="s">
        <v>5</v>
      </c>
      <c r="I108" s="50" t="s">
        <v>426</v>
      </c>
      <c r="J108" s="171">
        <f>(101.19)*(1/process_efficiency)*1/86.02</f>
        <v>1.2382677223167196</v>
      </c>
      <c r="K108" s="42" t="s">
        <v>3</v>
      </c>
      <c r="L108" s="25" t="s">
        <v>427</v>
      </c>
      <c r="M108" s="69"/>
    </row>
    <row r="109" spans="1:13" ht="28.8" x14ac:dyDescent="0.3">
      <c r="A109" s="550"/>
      <c r="B109" s="76"/>
      <c r="H109" s="25" t="s">
        <v>5</v>
      </c>
      <c r="I109" s="25" t="s">
        <v>89</v>
      </c>
      <c r="J109" s="171">
        <f>(88.04)*(1/process_efficiency)*1/86.02</f>
        <v>1.0773504325799386</v>
      </c>
      <c r="K109" s="15" t="s">
        <v>3</v>
      </c>
      <c r="L109" s="25" t="s">
        <v>428</v>
      </c>
      <c r="M109" s="15"/>
    </row>
    <row r="110" spans="1:13" ht="28.8" x14ac:dyDescent="0.3">
      <c r="A110" s="550"/>
      <c r="B110" s="76"/>
      <c r="H110" s="16" t="s">
        <v>5</v>
      </c>
      <c r="I110" s="5" t="s">
        <v>265</v>
      </c>
      <c r="J110" s="171">
        <f xml:space="preserve"> 70.9*(1/process_efficiency)*1/86.04</f>
        <v>0.86740561305635078</v>
      </c>
      <c r="K110" s="15" t="s">
        <v>3</v>
      </c>
      <c r="L110" s="25" t="s">
        <v>433</v>
      </c>
      <c r="M110" s="15"/>
    </row>
    <row r="111" spans="1:13" ht="28.8" x14ac:dyDescent="0.3">
      <c r="A111" s="550"/>
      <c r="B111" s="75"/>
      <c r="C111" s="51"/>
      <c r="D111" s="51"/>
      <c r="E111" s="50"/>
      <c r="F111" s="50"/>
      <c r="G111" s="50"/>
      <c r="H111" s="17" t="s">
        <v>165</v>
      </c>
      <c r="I111" s="5" t="s">
        <v>982</v>
      </c>
      <c r="J111" s="137">
        <f>(36.46)*(1/process_efficiency)*1/86.02</f>
        <v>0.44616307101163744</v>
      </c>
      <c r="K111" s="42" t="s">
        <v>3</v>
      </c>
      <c r="L111" s="70" t="s">
        <v>266</v>
      </c>
      <c r="M111" s="69"/>
    </row>
    <row r="112" spans="1:13" ht="28.8" x14ac:dyDescent="0.3">
      <c r="A112" s="550"/>
      <c r="B112" s="75"/>
      <c r="C112" s="51"/>
      <c r="D112" s="51"/>
      <c r="E112" s="50"/>
      <c r="F112" s="50"/>
      <c r="G112" s="50"/>
      <c r="H112" s="17" t="s">
        <v>165</v>
      </c>
      <c r="I112" s="5" t="s">
        <v>1154</v>
      </c>
      <c r="J112" s="137">
        <f>(102.2)*(1/ process_efficiency)*1/86.02</f>
        <v>1.2506271491330045</v>
      </c>
      <c r="K112" s="42" t="s">
        <v>3</v>
      </c>
      <c r="L112" s="70" t="s">
        <v>1155</v>
      </c>
      <c r="M112" s="69"/>
    </row>
    <row r="113" spans="1:13" ht="28.8" x14ac:dyDescent="0.3">
      <c r="A113" s="550"/>
      <c r="B113" s="76"/>
      <c r="H113" s="50" t="s">
        <v>6</v>
      </c>
      <c r="I113" s="50" t="s">
        <v>268</v>
      </c>
      <c r="J113" s="190">
        <f>(1/process_efficiency)*35.45/86.02</f>
        <v>0.43380364419535239</v>
      </c>
      <c r="K113" s="28" t="s">
        <v>3</v>
      </c>
      <c r="L113" s="70" t="s">
        <v>1156</v>
      </c>
      <c r="M113" s="15"/>
    </row>
    <row r="114" spans="1:13" ht="28.8" x14ac:dyDescent="0.3">
      <c r="A114" s="550"/>
      <c r="B114" s="75"/>
      <c r="C114" s="51"/>
      <c r="D114" s="51"/>
      <c r="E114" s="50"/>
      <c r="F114" s="50"/>
      <c r="G114" s="145"/>
      <c r="H114" s="16" t="s">
        <v>307</v>
      </c>
      <c r="I114" s="50" t="s">
        <v>752</v>
      </c>
      <c r="J114" s="190">
        <v>0.50059252154542599</v>
      </c>
      <c r="K114" s="42" t="s">
        <v>3</v>
      </c>
      <c r="L114" s="50" t="s">
        <v>1157</v>
      </c>
      <c r="M114" s="69"/>
    </row>
    <row r="115" spans="1:13" ht="90" x14ac:dyDescent="0.35">
      <c r="A115" s="550"/>
      <c r="B115" s="76"/>
      <c r="H115" s="16" t="s">
        <v>5</v>
      </c>
      <c r="I115" s="16" t="s">
        <v>159</v>
      </c>
      <c r="J115" s="34">
        <v>2.5999999999999999E-2</v>
      </c>
      <c r="K115" s="15" t="s">
        <v>3</v>
      </c>
      <c r="L115" s="416" t="s">
        <v>168</v>
      </c>
      <c r="M115" s="15"/>
    </row>
    <row r="116" spans="1:13" ht="120" x14ac:dyDescent="0.3">
      <c r="A116" s="550"/>
      <c r="B116" s="76"/>
      <c r="H116" s="16" t="s">
        <v>5</v>
      </c>
      <c r="I116" s="16" t="s">
        <v>16</v>
      </c>
      <c r="J116" s="34">
        <v>4.0000000000000001E-10</v>
      </c>
      <c r="K116" s="15" t="s">
        <v>22</v>
      </c>
      <c r="L116" s="315" t="s">
        <v>180</v>
      </c>
      <c r="M116" s="15"/>
    </row>
    <row r="117" spans="1:13" ht="165" x14ac:dyDescent="0.35">
      <c r="A117" s="550"/>
      <c r="B117" s="76"/>
      <c r="H117" s="16" t="s">
        <v>5</v>
      </c>
      <c r="I117" s="16" t="s">
        <v>19</v>
      </c>
      <c r="J117" s="34">
        <v>0.41599999999999998</v>
      </c>
      <c r="K117" s="15" t="s">
        <v>4</v>
      </c>
      <c r="L117" s="416" t="s">
        <v>166</v>
      </c>
      <c r="M117" s="15"/>
    </row>
    <row r="118" spans="1:13" ht="165" x14ac:dyDescent="0.35">
      <c r="A118" s="550"/>
      <c r="B118" s="76"/>
      <c r="H118" s="16" t="s">
        <v>5</v>
      </c>
      <c r="I118" s="16" t="s">
        <v>20</v>
      </c>
      <c r="J118" s="34">
        <v>2.3499999999999996</v>
      </c>
      <c r="K118" s="15" t="s">
        <v>21</v>
      </c>
      <c r="L118" s="416" t="s">
        <v>167</v>
      </c>
      <c r="M118" s="15"/>
    </row>
    <row r="119" spans="1:13" ht="120" x14ac:dyDescent="0.35">
      <c r="A119" s="550"/>
      <c r="B119" s="76"/>
      <c r="H119" s="16" t="s">
        <v>5</v>
      </c>
      <c r="I119" s="16" t="s">
        <v>157</v>
      </c>
      <c r="J119" s="34">
        <v>1.9E-2</v>
      </c>
      <c r="K119" s="15" t="s">
        <v>3</v>
      </c>
      <c r="L119" s="416" t="s">
        <v>169</v>
      </c>
      <c r="M119" s="15"/>
    </row>
    <row r="120" spans="1:13" ht="75" x14ac:dyDescent="0.35">
      <c r="A120" s="550"/>
      <c r="B120" s="76"/>
      <c r="H120" s="16" t="s">
        <v>36</v>
      </c>
      <c r="I120" s="16" t="s">
        <v>161</v>
      </c>
      <c r="J120" s="34">
        <v>1.6399999999999998E-2</v>
      </c>
      <c r="K120" s="15" t="s">
        <v>55</v>
      </c>
      <c r="L120" s="416" t="s">
        <v>170</v>
      </c>
      <c r="M120" s="15"/>
    </row>
    <row r="121" spans="1:13" ht="90" x14ac:dyDescent="0.35">
      <c r="A121" s="550"/>
      <c r="B121" s="76"/>
      <c r="H121" s="16" t="s">
        <v>36</v>
      </c>
      <c r="I121" s="16" t="s">
        <v>162</v>
      </c>
      <c r="J121" s="34">
        <v>8.5999999999999998E-4</v>
      </c>
      <c r="K121" s="15" t="s">
        <v>55</v>
      </c>
      <c r="L121" s="416" t="s">
        <v>171</v>
      </c>
      <c r="M121" s="15"/>
    </row>
    <row r="122" spans="1:13" ht="90" x14ac:dyDescent="0.35">
      <c r="A122" s="550"/>
      <c r="B122" s="76"/>
      <c r="H122" s="16" t="s">
        <v>36</v>
      </c>
      <c r="I122" s="16" t="s">
        <v>160</v>
      </c>
      <c r="J122" s="34">
        <v>8.3000000000000001E-4</v>
      </c>
      <c r="K122" s="15" t="s">
        <v>55</v>
      </c>
      <c r="L122" s="416" t="s">
        <v>171</v>
      </c>
      <c r="M122" s="15"/>
    </row>
    <row r="123" spans="1:13" ht="15" x14ac:dyDescent="0.3">
      <c r="A123" s="550"/>
      <c r="B123" s="76"/>
      <c r="H123" s="16" t="s">
        <v>164</v>
      </c>
      <c r="I123" s="16" t="s">
        <v>163</v>
      </c>
      <c r="J123" s="34">
        <v>1.9E-2</v>
      </c>
      <c r="K123" s="15" t="s">
        <v>3</v>
      </c>
      <c r="L123" s="315" t="s">
        <v>181</v>
      </c>
      <c r="M123" s="15"/>
    </row>
    <row r="124" spans="1:13" ht="75" x14ac:dyDescent="0.35">
      <c r="A124" s="550"/>
      <c r="B124" s="76"/>
      <c r="G124" s="15"/>
      <c r="H124" s="16" t="s">
        <v>164</v>
      </c>
      <c r="I124" s="16" t="s">
        <v>32</v>
      </c>
      <c r="J124" s="34">
        <v>1.4E-3</v>
      </c>
      <c r="K124" s="15" t="s">
        <v>55</v>
      </c>
      <c r="L124" s="416" t="s">
        <v>172</v>
      </c>
      <c r="M124" s="15"/>
    </row>
    <row r="125" spans="1:13" ht="45" x14ac:dyDescent="0.35">
      <c r="A125" s="550"/>
      <c r="B125" s="77"/>
      <c r="C125" s="147"/>
      <c r="D125" s="147"/>
      <c r="E125" s="72"/>
      <c r="F125" s="72"/>
      <c r="G125" s="72"/>
      <c r="H125" s="72" t="s">
        <v>165</v>
      </c>
      <c r="I125" s="72" t="s">
        <v>32</v>
      </c>
      <c r="J125" s="147">
        <v>1.67E-2</v>
      </c>
      <c r="K125" s="71" t="s">
        <v>55</v>
      </c>
      <c r="L125" s="417" t="s">
        <v>173</v>
      </c>
      <c r="M125" s="71"/>
    </row>
    <row r="126" spans="1:13" ht="90" x14ac:dyDescent="0.35">
      <c r="A126" s="550"/>
      <c r="B126" s="11"/>
      <c r="C126" s="218"/>
      <c r="D126" s="218"/>
      <c r="E126" s="5"/>
      <c r="F126" s="5"/>
      <c r="G126" s="5"/>
      <c r="H126" s="16" t="s">
        <v>307</v>
      </c>
      <c r="I126" s="5" t="s">
        <v>54</v>
      </c>
      <c r="J126" s="10">
        <v>2.7E-6</v>
      </c>
      <c r="K126" s="11" t="s">
        <v>55</v>
      </c>
      <c r="L126" s="418" t="s">
        <v>182</v>
      </c>
      <c r="M126" s="11"/>
    </row>
    <row r="127" spans="1:13" ht="28.95" customHeight="1" x14ac:dyDescent="0.3">
      <c r="A127" s="293"/>
      <c r="B127" s="11"/>
      <c r="C127" s="218"/>
      <c r="D127" s="218"/>
      <c r="E127" s="5"/>
      <c r="F127" s="5"/>
      <c r="G127" s="5"/>
      <c r="H127" s="50" t="s">
        <v>6</v>
      </c>
      <c r="I127" s="50" t="s">
        <v>508</v>
      </c>
      <c r="J127" s="190">
        <v>0.42160701832486702</v>
      </c>
      <c r="K127" s="11"/>
      <c r="L127" s="559" t="s">
        <v>903</v>
      </c>
      <c r="M127" s="11"/>
    </row>
    <row r="128" spans="1:13" ht="16.05" customHeight="1" x14ac:dyDescent="0.3">
      <c r="A128" s="293"/>
      <c r="B128" s="11"/>
      <c r="C128" s="218"/>
      <c r="D128" s="218"/>
      <c r="E128" s="5"/>
      <c r="F128" s="5"/>
      <c r="G128" s="5"/>
      <c r="H128" s="50" t="s">
        <v>6</v>
      </c>
      <c r="I128" s="50" t="s">
        <v>509</v>
      </c>
      <c r="J128" s="190">
        <v>0.42160701832486658</v>
      </c>
      <c r="K128" s="11"/>
      <c r="L128" s="559"/>
      <c r="M128" s="11"/>
    </row>
    <row r="129" spans="1:13" ht="16.05" customHeight="1" x14ac:dyDescent="0.3">
      <c r="A129" s="293"/>
      <c r="B129" s="11"/>
      <c r="C129" s="218"/>
      <c r="D129" s="218"/>
      <c r="E129" s="5"/>
      <c r="F129" s="5"/>
      <c r="G129" s="5"/>
      <c r="H129" s="50" t="s">
        <v>6</v>
      </c>
      <c r="I129" s="50" t="s">
        <v>510</v>
      </c>
      <c r="J129" s="190">
        <v>0.11151672931315135</v>
      </c>
      <c r="K129" s="11"/>
      <c r="L129" s="559"/>
      <c r="M129" s="11"/>
    </row>
    <row r="130" spans="1:13" x14ac:dyDescent="0.3">
      <c r="A130" s="402"/>
      <c r="B130" s="73"/>
      <c r="C130" s="148"/>
      <c r="D130" s="148"/>
      <c r="E130" s="89"/>
      <c r="F130" s="89"/>
      <c r="G130" s="89"/>
      <c r="H130" s="54" t="s">
        <v>6</v>
      </c>
      <c r="I130" s="54" t="s">
        <v>511</v>
      </c>
      <c r="J130" s="259">
        <v>0.11151672931315135</v>
      </c>
      <c r="K130" s="73"/>
      <c r="L130" s="560"/>
      <c r="M130" s="73"/>
    </row>
    <row r="131" spans="1:13" s="42" customFormat="1" ht="43.2" x14ac:dyDescent="0.3">
      <c r="A131" s="552" t="s">
        <v>717</v>
      </c>
      <c r="B131" s="50" t="s">
        <v>7</v>
      </c>
      <c r="C131" s="50" t="s">
        <v>385</v>
      </c>
      <c r="D131" s="51">
        <v>1</v>
      </c>
      <c r="E131" s="42" t="s">
        <v>3</v>
      </c>
      <c r="H131" s="50" t="s">
        <v>7</v>
      </c>
      <c r="I131" s="50" t="s">
        <v>385</v>
      </c>
      <c r="J131" s="51">
        <v>1</v>
      </c>
      <c r="K131" s="42" t="s">
        <v>3</v>
      </c>
      <c r="L131" s="50"/>
    </row>
    <row r="132" spans="1:13" s="15" customFormat="1" x14ac:dyDescent="0.3">
      <c r="A132" s="553"/>
      <c r="B132" s="16"/>
      <c r="D132" s="34"/>
      <c r="E132" s="16"/>
      <c r="F132" s="398"/>
      <c r="H132" s="16" t="s">
        <v>5</v>
      </c>
      <c r="I132" s="15" t="s">
        <v>643</v>
      </c>
      <c r="J132" s="34">
        <v>0.35099999999999998</v>
      </c>
      <c r="K132" s="16" t="s">
        <v>3</v>
      </c>
      <c r="L132" s="16" t="s">
        <v>986</v>
      </c>
    </row>
    <row r="133" spans="1:13" s="15" customFormat="1" x14ac:dyDescent="0.3">
      <c r="A133" s="553"/>
      <c r="B133" s="16"/>
      <c r="C133" s="167"/>
      <c r="D133" s="34"/>
      <c r="E133" s="16"/>
      <c r="F133" s="398"/>
      <c r="H133" s="16" t="s">
        <v>5</v>
      </c>
      <c r="I133" s="167" t="s">
        <v>274</v>
      </c>
      <c r="J133" s="34">
        <v>0.35099999999999998</v>
      </c>
      <c r="K133" s="16" t="s">
        <v>3</v>
      </c>
      <c r="L133" s="16" t="s">
        <v>986</v>
      </c>
    </row>
    <row r="134" spans="1:13" s="15" customFormat="1" x14ac:dyDescent="0.3">
      <c r="A134" s="553"/>
      <c r="B134" s="16"/>
      <c r="D134" s="19"/>
      <c r="E134" s="16"/>
      <c r="H134" s="16" t="s">
        <v>5</v>
      </c>
      <c r="I134" s="15" t="s">
        <v>25</v>
      </c>
      <c r="J134" s="19">
        <v>0.218</v>
      </c>
      <c r="K134" s="16" t="s">
        <v>3</v>
      </c>
      <c r="L134" s="16"/>
    </row>
    <row r="135" spans="1:13" s="15" customFormat="1" x14ac:dyDescent="0.3">
      <c r="A135" s="553"/>
      <c r="B135" s="16"/>
      <c r="D135" s="19"/>
      <c r="E135" s="16"/>
      <c r="H135" s="16" t="s">
        <v>5</v>
      </c>
      <c r="I135" s="15" t="s">
        <v>24</v>
      </c>
      <c r="J135" s="19">
        <v>1.44E-2</v>
      </c>
      <c r="K135" s="16" t="s">
        <v>3</v>
      </c>
      <c r="L135" s="16"/>
    </row>
    <row r="136" spans="1:13" s="15" customFormat="1" x14ac:dyDescent="0.3">
      <c r="A136" s="553"/>
      <c r="B136" s="16"/>
      <c r="D136" s="19"/>
      <c r="E136" s="16"/>
      <c r="H136" s="16" t="s">
        <v>5</v>
      </c>
      <c r="I136" s="15" t="s">
        <v>26</v>
      </c>
      <c r="J136" s="19">
        <v>2.6200000000000001E-2</v>
      </c>
      <c r="K136" s="16" t="s">
        <v>3</v>
      </c>
      <c r="L136" s="16"/>
    </row>
    <row r="137" spans="1:13" s="15" customFormat="1" x14ac:dyDescent="0.3">
      <c r="A137" s="553"/>
      <c r="B137" s="16"/>
      <c r="D137" s="19"/>
      <c r="E137" s="16"/>
      <c r="H137" s="16" t="s">
        <v>5</v>
      </c>
      <c r="I137" s="15" t="s">
        <v>27</v>
      </c>
      <c r="J137" s="19">
        <v>0.29099999999999998</v>
      </c>
      <c r="K137" s="16" t="s">
        <v>3</v>
      </c>
      <c r="L137" s="16"/>
    </row>
    <row r="138" spans="1:13" s="15" customFormat="1" x14ac:dyDescent="0.3">
      <c r="A138" s="553"/>
      <c r="B138" s="16"/>
      <c r="D138" s="19"/>
      <c r="E138" s="16"/>
      <c r="G138" s="396"/>
      <c r="H138" s="16" t="s">
        <v>5</v>
      </c>
      <c r="I138" s="15" t="s">
        <v>28</v>
      </c>
      <c r="J138" s="19">
        <v>0.192</v>
      </c>
      <c r="K138" s="16" t="s">
        <v>3</v>
      </c>
      <c r="L138" s="16"/>
    </row>
    <row r="139" spans="1:13" s="15" customFormat="1" x14ac:dyDescent="0.3">
      <c r="A139" s="553"/>
      <c r="B139" s="16"/>
      <c r="D139" s="19"/>
      <c r="E139" s="16"/>
      <c r="H139" s="16" t="s">
        <v>5</v>
      </c>
      <c r="I139" s="15" t="s">
        <v>16</v>
      </c>
      <c r="J139" s="19">
        <v>4.0000000000000001E-10</v>
      </c>
      <c r="K139" s="16" t="s">
        <v>22</v>
      </c>
      <c r="L139" s="16"/>
    </row>
    <row r="140" spans="1:13" s="15" customFormat="1" x14ac:dyDescent="0.3">
      <c r="A140" s="553"/>
      <c r="B140" s="16"/>
      <c r="D140" s="19"/>
      <c r="E140" s="16"/>
      <c r="H140" s="16" t="s">
        <v>5</v>
      </c>
      <c r="I140" s="15" t="s">
        <v>19</v>
      </c>
      <c r="J140" s="19">
        <v>2E-3</v>
      </c>
      <c r="K140" s="16" t="s">
        <v>4</v>
      </c>
      <c r="L140" s="16"/>
    </row>
    <row r="141" spans="1:13" s="15" customFormat="1" ht="14.55" customHeight="1" x14ac:dyDescent="0.3">
      <c r="A141" s="553"/>
      <c r="B141" s="16"/>
      <c r="D141" s="19"/>
      <c r="E141" s="16"/>
      <c r="G141" s="396"/>
      <c r="H141" s="16" t="s">
        <v>5</v>
      </c>
      <c r="I141" s="15" t="s">
        <v>20</v>
      </c>
      <c r="J141" s="19">
        <v>0.193</v>
      </c>
      <c r="K141" s="16" t="s">
        <v>21</v>
      </c>
      <c r="L141" s="16"/>
    </row>
    <row r="142" spans="1:13" s="15" customFormat="1" ht="14.55" customHeight="1" x14ac:dyDescent="0.3">
      <c r="A142" s="553"/>
      <c r="B142" s="16"/>
      <c r="D142" s="19"/>
      <c r="E142" s="16"/>
      <c r="H142" s="16" t="s">
        <v>5</v>
      </c>
      <c r="I142" s="15" t="s">
        <v>29</v>
      </c>
      <c r="J142" s="19">
        <v>-5.3900000000000003E-2</v>
      </c>
      <c r="K142" s="16" t="s">
        <v>3</v>
      </c>
      <c r="L142" s="16"/>
    </row>
    <row r="143" spans="1:13" s="55" customFormat="1" x14ac:dyDescent="0.3">
      <c r="A143" s="558"/>
      <c r="B143" s="54"/>
      <c r="D143" s="88"/>
      <c r="E143" s="54"/>
      <c r="H143" s="54" t="s">
        <v>6</v>
      </c>
      <c r="I143" s="55" t="s">
        <v>23</v>
      </c>
      <c r="J143" s="88">
        <v>1.44E-2</v>
      </c>
      <c r="K143" s="54" t="s">
        <v>3</v>
      </c>
      <c r="L143" s="54"/>
    </row>
    <row r="144" spans="1:13" x14ac:dyDescent="0.3">
      <c r="A144" s="50"/>
      <c r="B144" s="50" t="s">
        <v>8</v>
      </c>
      <c r="C144" s="198">
        <v>0.25662087404255296</v>
      </c>
      <c r="D144" s="51"/>
      <c r="E144" s="50" t="s">
        <v>3</v>
      </c>
      <c r="F144" s="50" t="s">
        <v>40</v>
      </c>
      <c r="G144" s="50"/>
      <c r="H144" s="50" t="s">
        <v>7</v>
      </c>
      <c r="I144" s="5" t="s">
        <v>747</v>
      </c>
      <c r="J144" s="440">
        <v>1</v>
      </c>
      <c r="K144" s="42" t="s">
        <v>3</v>
      </c>
      <c r="L144" s="50"/>
    </row>
    <row r="145" spans="1:13" ht="33" customHeight="1" x14ac:dyDescent="0.3">
      <c r="A145" s="553" t="s">
        <v>128</v>
      </c>
      <c r="B145" s="17" t="s">
        <v>92</v>
      </c>
      <c r="C145" s="216">
        <f>14.7033133276596%</f>
        <v>0.14703313327659601</v>
      </c>
      <c r="D145" s="24"/>
      <c r="E145" s="16" t="s">
        <v>3</v>
      </c>
      <c r="F145" s="25" t="s">
        <v>102</v>
      </c>
      <c r="G145" s="568" t="s">
        <v>954</v>
      </c>
      <c r="H145" s="16" t="s">
        <v>5</v>
      </c>
      <c r="I145" s="16" t="s">
        <v>152</v>
      </c>
      <c r="J145" s="171">
        <f>0.94-Si_coating</f>
        <v>0.91999999999999993</v>
      </c>
      <c r="K145" s="15" t="s">
        <v>3</v>
      </c>
    </row>
    <row r="146" spans="1:13" ht="26.55" customHeight="1" x14ac:dyDescent="0.3">
      <c r="A146" s="553"/>
      <c r="B146" s="451" t="s">
        <v>93</v>
      </c>
      <c r="C146" s="217"/>
      <c r="D146" s="24"/>
      <c r="E146" s="16" t="s">
        <v>3</v>
      </c>
      <c r="G146" s="568"/>
      <c r="H146" s="16" t="s">
        <v>5</v>
      </c>
      <c r="I146" s="16" t="s">
        <v>94</v>
      </c>
      <c r="J146" s="171">
        <v>0.03</v>
      </c>
      <c r="K146" s="15" t="s">
        <v>3</v>
      </c>
    </row>
    <row r="147" spans="1:13" ht="27.45" customHeight="1" x14ac:dyDescent="0.3">
      <c r="A147" s="553"/>
      <c r="B147" s="16" t="s">
        <v>18</v>
      </c>
      <c r="C147" s="217"/>
      <c r="D147" s="24"/>
      <c r="E147" s="16" t="s">
        <v>3</v>
      </c>
      <c r="G147" s="568"/>
      <c r="H147" s="16" t="s">
        <v>5</v>
      </c>
      <c r="I147" s="16" t="s">
        <v>18</v>
      </c>
      <c r="J147" s="171">
        <v>0.01</v>
      </c>
      <c r="K147" s="15" t="s">
        <v>3</v>
      </c>
    </row>
    <row r="148" spans="1:13" ht="28.95" customHeight="1" x14ac:dyDescent="0.3">
      <c r="A148" s="553"/>
      <c r="B148" s="451" t="s">
        <v>52</v>
      </c>
      <c r="C148" s="217"/>
      <c r="D148" s="24"/>
      <c r="E148" s="16" t="s">
        <v>3</v>
      </c>
      <c r="G148" s="568"/>
      <c r="H148" s="16" t="s">
        <v>5</v>
      </c>
      <c r="I148" s="16" t="s">
        <v>51</v>
      </c>
      <c r="J148" s="171">
        <v>0.02</v>
      </c>
      <c r="K148" s="15" t="s">
        <v>3</v>
      </c>
    </row>
    <row r="149" spans="1:13" ht="28.8" x14ac:dyDescent="0.3">
      <c r="A149" s="553"/>
      <c r="B149" s="16" t="s">
        <v>17</v>
      </c>
      <c r="C149" s="34" t="s">
        <v>124</v>
      </c>
      <c r="E149" s="16" t="s">
        <v>148</v>
      </c>
      <c r="F149" s="16" t="s">
        <v>320</v>
      </c>
      <c r="G149" s="16" t="s">
        <v>321</v>
      </c>
      <c r="H149" s="16" t="s">
        <v>5</v>
      </c>
      <c r="I149" s="16" t="s">
        <v>17</v>
      </c>
      <c r="J149" s="91">
        <f>IF(Si_coating=0,1,0.96)</f>
        <v>0.96</v>
      </c>
      <c r="K149" s="15" t="s">
        <v>3</v>
      </c>
    </row>
    <row r="150" spans="1:13" ht="86.4" x14ac:dyDescent="0.3">
      <c r="A150" s="553"/>
      <c r="B150" s="16" t="s">
        <v>303</v>
      </c>
      <c r="C150" s="34" t="s">
        <v>131</v>
      </c>
      <c r="E150" s="25" t="s">
        <v>132</v>
      </c>
      <c r="F150" s="16" t="s">
        <v>123</v>
      </c>
      <c r="G150" s="144" t="s">
        <v>780</v>
      </c>
      <c r="H150" s="16" t="s">
        <v>5</v>
      </c>
      <c r="I150" s="17" t="s">
        <v>754</v>
      </c>
      <c r="J150" s="223">
        <f>heat_drying_cathode*0.3</f>
        <v>8.2776111799600791</v>
      </c>
      <c r="K150" s="15" t="s">
        <v>21</v>
      </c>
      <c r="L150" s="16" t="s">
        <v>612</v>
      </c>
    </row>
    <row r="151" spans="1:13" ht="28.8" x14ac:dyDescent="0.3">
      <c r="A151" s="553"/>
      <c r="B151" s="25" t="s">
        <v>297</v>
      </c>
      <c r="C151" s="34">
        <f>SUM('info solvents'!G9,'info solvents'!G11,'info solvents'!G12)</f>
        <v>0.33099999999999996</v>
      </c>
      <c r="E151" s="16" t="s">
        <v>194</v>
      </c>
      <c r="F151" s="25" t="s">
        <v>299</v>
      </c>
      <c r="G151" s="82" t="s">
        <v>952</v>
      </c>
      <c r="H151" s="25" t="s">
        <v>5</v>
      </c>
      <c r="I151" s="25" t="s">
        <v>45</v>
      </c>
      <c r="J151" s="223">
        <f>C151/'info solvents'!$O$5*specific_energy_NCA</f>
        <v>0.50099694327527211</v>
      </c>
      <c r="K151" s="28" t="s">
        <v>4</v>
      </c>
      <c r="L151" s="23" t="s">
        <v>300</v>
      </c>
    </row>
    <row r="152" spans="1:13" x14ac:dyDescent="0.3">
      <c r="A152" s="553"/>
      <c r="B152" s="28"/>
      <c r="C152" s="32"/>
      <c r="H152" s="16" t="s">
        <v>307</v>
      </c>
      <c r="I152" s="25" t="s">
        <v>985</v>
      </c>
      <c r="J152" s="32">
        <f>water_deionised/1000</f>
        <v>9.5999999999999992E-4</v>
      </c>
      <c r="K152" s="15" t="s">
        <v>55</v>
      </c>
      <c r="L152" s="16" t="s">
        <v>987</v>
      </c>
    </row>
    <row r="153" spans="1:13" ht="15" x14ac:dyDescent="0.3">
      <c r="A153" s="428"/>
      <c r="B153" s="139"/>
      <c r="C153" s="189"/>
      <c r="D153" s="189"/>
      <c r="E153" s="139"/>
      <c r="F153" s="139"/>
      <c r="G153" s="139"/>
      <c r="H153" s="139" t="s">
        <v>5</v>
      </c>
      <c r="I153" s="139" t="s">
        <v>16</v>
      </c>
      <c r="J153" s="189">
        <v>4.0000000000000001E-10</v>
      </c>
      <c r="K153" s="220" t="s">
        <v>22</v>
      </c>
      <c r="L153" s="429"/>
    </row>
    <row r="154" spans="1:13" ht="28.8" x14ac:dyDescent="0.3">
      <c r="A154" s="406" t="s">
        <v>129</v>
      </c>
      <c r="B154" s="54" t="s">
        <v>598</v>
      </c>
      <c r="C154" s="350"/>
      <c r="D154" s="317">
        <v>0.02</v>
      </c>
      <c r="E154" s="54" t="s">
        <v>3</v>
      </c>
      <c r="F154" s="54" t="s">
        <v>955</v>
      </c>
      <c r="G154" s="63"/>
      <c r="H154" s="54" t="s">
        <v>5</v>
      </c>
      <c r="I154" s="55" t="s">
        <v>668</v>
      </c>
      <c r="J154" s="442">
        <f>D154</f>
        <v>0.02</v>
      </c>
      <c r="K154" s="55" t="s">
        <v>3</v>
      </c>
      <c r="L154" s="54"/>
    </row>
    <row r="155" spans="1:13" x14ac:dyDescent="0.3">
      <c r="A155" s="554" t="s">
        <v>597</v>
      </c>
      <c r="B155" s="56" t="s">
        <v>130</v>
      </c>
      <c r="C155" s="51">
        <v>14.83</v>
      </c>
      <c r="D155" s="191">
        <v>1</v>
      </c>
      <c r="E155" s="50" t="s">
        <v>3</v>
      </c>
      <c r="F155" s="50" t="s">
        <v>40</v>
      </c>
      <c r="G155" s="50"/>
      <c r="H155" s="16" t="s">
        <v>5</v>
      </c>
      <c r="I155" s="5" t="s">
        <v>748</v>
      </c>
      <c r="J155" s="137">
        <f>D155</f>
        <v>1</v>
      </c>
      <c r="K155" s="42" t="s">
        <v>3</v>
      </c>
      <c r="L155" s="50"/>
      <c r="M155" s="42"/>
    </row>
    <row r="156" spans="1:13" x14ac:dyDescent="0.3">
      <c r="A156" s="555"/>
      <c r="B156" s="56"/>
      <c r="C156" s="51"/>
      <c r="D156" s="191"/>
      <c r="E156" s="50"/>
      <c r="F156" s="50"/>
      <c r="G156" s="50"/>
      <c r="H156" s="16" t="s">
        <v>5</v>
      </c>
      <c r="I156" s="5" t="s">
        <v>53</v>
      </c>
      <c r="J156" s="137">
        <v>1</v>
      </c>
      <c r="K156" s="42" t="s">
        <v>3</v>
      </c>
      <c r="L156" s="50"/>
      <c r="M156" s="42"/>
    </row>
    <row r="157" spans="1:13" x14ac:dyDescent="0.3">
      <c r="A157" s="555"/>
      <c r="B157" s="18"/>
      <c r="H157" s="16" t="s">
        <v>5</v>
      </c>
      <c r="I157" s="50" t="s">
        <v>14</v>
      </c>
      <c r="J157" s="19">
        <f>J155</f>
        <v>1</v>
      </c>
      <c r="K157" s="15" t="s">
        <v>3</v>
      </c>
      <c r="M157" s="15"/>
    </row>
    <row r="158" spans="1:13" s="209" customFormat="1" x14ac:dyDescent="0.3">
      <c r="A158" s="555"/>
      <c r="B158" s="28"/>
      <c r="C158" s="190"/>
      <c r="D158" s="91"/>
      <c r="E158" s="25"/>
      <c r="F158" s="25"/>
      <c r="G158" s="25"/>
      <c r="H158" s="25" t="s">
        <v>307</v>
      </c>
      <c r="I158" s="25" t="s">
        <v>988</v>
      </c>
      <c r="J158" s="190">
        <f>SUM(J160:J161)</f>
        <v>0.53587786259541992</v>
      </c>
      <c r="K158" s="28" t="s">
        <v>3</v>
      </c>
      <c r="L158" s="25" t="s">
        <v>989</v>
      </c>
      <c r="M158" s="28"/>
    </row>
    <row r="159" spans="1:13" x14ac:dyDescent="0.3">
      <c r="A159" s="555"/>
      <c r="B159" s="220"/>
      <c r="C159" s="199"/>
      <c r="D159" s="147"/>
      <c r="E159" s="72"/>
      <c r="F159" s="72"/>
      <c r="G159" s="72"/>
      <c r="H159" s="72" t="s">
        <v>5</v>
      </c>
      <c r="I159" t="s">
        <v>381</v>
      </c>
      <c r="J159" s="199">
        <v>4.5800000000000002E-10</v>
      </c>
      <c r="K159" s="71" t="s">
        <v>22</v>
      </c>
      <c r="L159" s="139" t="s">
        <v>666</v>
      </c>
      <c r="M159" s="71"/>
    </row>
    <row r="160" spans="1:13" ht="28.8" x14ac:dyDescent="0.3">
      <c r="A160" s="555"/>
      <c r="B160" s="15"/>
      <c r="H160" s="16" t="s">
        <v>5</v>
      </c>
      <c r="I160" s="72" t="s">
        <v>15</v>
      </c>
      <c r="J160" s="150">
        <f>J186</f>
        <v>0.33078880407124683</v>
      </c>
      <c r="K160" s="486" t="s">
        <v>3</v>
      </c>
      <c r="L160" s="477" t="s">
        <v>1020</v>
      </c>
      <c r="M160" s="76"/>
    </row>
    <row r="161" spans="1:13" ht="28.8" x14ac:dyDescent="0.3">
      <c r="A161" s="556"/>
      <c r="B161" s="54" t="s">
        <v>308</v>
      </c>
      <c r="C161" s="88"/>
      <c r="D161" s="88"/>
      <c r="E161" s="54"/>
      <c r="F161" s="54"/>
      <c r="G161" s="54"/>
      <c r="H161" s="54" t="s">
        <v>5</v>
      </c>
      <c r="I161" s="54" t="s">
        <v>158</v>
      </c>
      <c r="J161" s="260">
        <f>J187</f>
        <v>0.20508905852417303</v>
      </c>
      <c r="K161" s="55" t="s">
        <v>3</v>
      </c>
      <c r="L161" s="480" t="s">
        <v>1021</v>
      </c>
      <c r="M161" s="55"/>
    </row>
    <row r="162" spans="1:13" ht="72" x14ac:dyDescent="0.3">
      <c r="A162" s="552" t="s">
        <v>183</v>
      </c>
      <c r="B162" s="61" t="s">
        <v>92</v>
      </c>
      <c r="C162" s="51">
        <v>1</v>
      </c>
      <c r="D162" s="51"/>
      <c r="E162" s="50" t="s">
        <v>95</v>
      </c>
      <c r="F162" s="50"/>
      <c r="G162" s="50"/>
      <c r="H162" s="50" t="s">
        <v>7</v>
      </c>
      <c r="I162" s="50" t="s">
        <v>753</v>
      </c>
      <c r="J162" s="440">
        <v>1</v>
      </c>
      <c r="K162" s="42" t="s">
        <v>3</v>
      </c>
      <c r="L162" s="61" t="s">
        <v>905</v>
      </c>
    </row>
    <row r="163" spans="1:13" ht="28.8" x14ac:dyDescent="0.3">
      <c r="A163" s="553"/>
      <c r="B163" s="25" t="s">
        <v>150</v>
      </c>
      <c r="C163" s="34">
        <v>0.96</v>
      </c>
      <c r="E163" s="16" t="s">
        <v>95</v>
      </c>
      <c r="F163" s="16" t="s">
        <v>615</v>
      </c>
      <c r="H163" s="16" t="s">
        <v>5</v>
      </c>
      <c r="I163" s="25" t="s">
        <v>151</v>
      </c>
      <c r="J163" s="91">
        <v>0.96</v>
      </c>
      <c r="K163" s="15" t="s">
        <v>3</v>
      </c>
      <c r="L163" s="16" t="s">
        <v>185</v>
      </c>
    </row>
    <row r="164" spans="1:13" ht="43.2" x14ac:dyDescent="0.3">
      <c r="A164" s="553"/>
      <c r="B164" s="25" t="s">
        <v>56</v>
      </c>
      <c r="C164" s="34">
        <v>0.24</v>
      </c>
      <c r="E164" s="16" t="s">
        <v>95</v>
      </c>
      <c r="F164" s="16" t="s">
        <v>615</v>
      </c>
      <c r="H164" s="16" t="s">
        <v>5</v>
      </c>
      <c r="I164" s="16" t="s">
        <v>186</v>
      </c>
      <c r="J164" s="91">
        <f>C164</f>
        <v>0.24</v>
      </c>
      <c r="K164" s="15" t="s">
        <v>3</v>
      </c>
      <c r="L164" s="25" t="s">
        <v>187</v>
      </c>
    </row>
    <row r="165" spans="1:13" x14ac:dyDescent="0.3">
      <c r="A165" s="553"/>
      <c r="B165" s="28"/>
      <c r="H165" s="16" t="s">
        <v>1010</v>
      </c>
      <c r="I165" s="16" t="s">
        <v>1007</v>
      </c>
      <c r="J165" s="150">
        <f>J173 * (32/(32+12))</f>
        <v>0.31785890909090908</v>
      </c>
      <c r="K165" s="15" t="s">
        <v>3</v>
      </c>
      <c r="L165" s="25" t="s">
        <v>1009</v>
      </c>
    </row>
    <row r="166" spans="1:13" ht="72" x14ac:dyDescent="0.3">
      <c r="A166" s="553"/>
      <c r="B166" s="25" t="s">
        <v>96</v>
      </c>
      <c r="C166" s="34">
        <v>5.1479999999999997</v>
      </c>
      <c r="E166" s="16" t="s">
        <v>138</v>
      </c>
      <c r="F166" s="16" t="s">
        <v>615</v>
      </c>
      <c r="H166" s="16" t="s">
        <v>5</v>
      </c>
      <c r="I166" s="17" t="s">
        <v>754</v>
      </c>
      <c r="J166" s="171">
        <f>C166*mmBTU_to_MJ*10^(-3)</f>
        <v>5.4314282880000002</v>
      </c>
      <c r="K166" s="15" t="s">
        <v>21</v>
      </c>
      <c r="L166" s="16" t="s">
        <v>906</v>
      </c>
    </row>
    <row r="167" spans="1:13" ht="28.8" x14ac:dyDescent="0.3">
      <c r="A167" s="553"/>
      <c r="B167" s="25" t="s">
        <v>97</v>
      </c>
      <c r="C167" s="34">
        <v>13.93</v>
      </c>
      <c r="E167" s="16" t="s">
        <v>138</v>
      </c>
      <c r="F167" s="16" t="s">
        <v>615</v>
      </c>
      <c r="H167" s="16" t="s">
        <v>5</v>
      </c>
      <c r="I167" s="16" t="s">
        <v>45</v>
      </c>
      <c r="J167" s="171">
        <f>C167*mmBTU_to_MJ*MJ_to_kWh*10^(-3)</f>
        <v>4.0824838437622404</v>
      </c>
      <c r="K167" s="15" t="s">
        <v>4</v>
      </c>
      <c r="L167" s="16" t="s">
        <v>192</v>
      </c>
    </row>
    <row r="168" spans="1:13" ht="57.6" x14ac:dyDescent="0.3">
      <c r="A168" s="553"/>
      <c r="B168" s="25"/>
      <c r="H168" s="16" t="s">
        <v>5</v>
      </c>
      <c r="I168" s="16" t="s">
        <v>16</v>
      </c>
      <c r="J168" s="190">
        <v>4.0000000000000001E-10</v>
      </c>
      <c r="K168" s="15" t="s">
        <v>22</v>
      </c>
      <c r="L168" s="16" t="s">
        <v>1008</v>
      </c>
    </row>
    <row r="169" spans="1:13" ht="28.8" x14ac:dyDescent="0.3">
      <c r="A169" s="553"/>
      <c r="B169" s="25" t="s">
        <v>58</v>
      </c>
      <c r="C169" s="34">
        <v>9300</v>
      </c>
      <c r="E169" s="16" t="s">
        <v>137</v>
      </c>
      <c r="F169" s="16" t="s">
        <v>615</v>
      </c>
      <c r="H169" s="50" t="s">
        <v>164</v>
      </c>
      <c r="I169" s="16" t="s">
        <v>154</v>
      </c>
      <c r="J169" s="190">
        <f>C169*10^(-6)</f>
        <v>9.2999999999999992E-3</v>
      </c>
      <c r="K169" s="15" t="s">
        <v>3</v>
      </c>
      <c r="L169" s="568" t="s">
        <v>907</v>
      </c>
    </row>
    <row r="170" spans="1:13" ht="28.8" x14ac:dyDescent="0.3">
      <c r="A170" s="553"/>
      <c r="B170" s="25" t="s">
        <v>215</v>
      </c>
      <c r="C170" s="34">
        <v>2050.25</v>
      </c>
      <c r="E170" s="16" t="s">
        <v>137</v>
      </c>
      <c r="F170" s="16" t="s">
        <v>615</v>
      </c>
      <c r="H170" s="16" t="s">
        <v>164</v>
      </c>
      <c r="I170" s="16" t="s">
        <v>264</v>
      </c>
      <c r="J170" s="190">
        <f t="shared" ref="J170:J171" si="13">C170*10^(-6)</f>
        <v>2.05025E-3</v>
      </c>
      <c r="K170" s="15" t="s">
        <v>3</v>
      </c>
      <c r="L170" s="568"/>
    </row>
    <row r="171" spans="1:13" ht="28.8" x14ac:dyDescent="0.3">
      <c r="A171" s="553"/>
      <c r="B171" s="25" t="s">
        <v>214</v>
      </c>
      <c r="C171" s="34">
        <v>4100.5</v>
      </c>
      <c r="E171" s="16" t="s">
        <v>137</v>
      </c>
      <c r="F171" s="16" t="s">
        <v>615</v>
      </c>
      <c r="H171" s="50" t="s">
        <v>164</v>
      </c>
      <c r="I171" s="16" t="s">
        <v>628</v>
      </c>
      <c r="J171" s="190">
        <f t="shared" si="13"/>
        <v>4.1005E-3</v>
      </c>
      <c r="K171" s="15" t="s">
        <v>3</v>
      </c>
      <c r="L171" s="568"/>
    </row>
    <row r="172" spans="1:13" ht="28.8" x14ac:dyDescent="0.3">
      <c r="A172" s="553"/>
      <c r="B172" s="25" t="s">
        <v>57</v>
      </c>
      <c r="C172" s="34">
        <v>63812</v>
      </c>
      <c r="E172" s="16" t="s">
        <v>137</v>
      </c>
      <c r="F172" s="16" t="s">
        <v>615</v>
      </c>
      <c r="H172" s="50" t="s">
        <v>164</v>
      </c>
      <c r="I172" s="16" t="s">
        <v>190</v>
      </c>
      <c r="J172" s="190">
        <f t="shared" ref="J172:J173" si="14">C172*10^(-6)</f>
        <v>6.3811999999999994E-2</v>
      </c>
      <c r="K172" s="15" t="s">
        <v>3</v>
      </c>
      <c r="L172" s="568"/>
    </row>
    <row r="173" spans="1:13" ht="27" customHeight="1" x14ac:dyDescent="0.3">
      <c r="A173" s="558"/>
      <c r="B173" s="63" t="s">
        <v>38</v>
      </c>
      <c r="C173" s="88">
        <v>437056</v>
      </c>
      <c r="D173" s="88"/>
      <c r="E173" s="54" t="s">
        <v>137</v>
      </c>
      <c r="F173" s="54" t="s">
        <v>615</v>
      </c>
      <c r="G173" s="54"/>
      <c r="H173" s="54" t="s">
        <v>164</v>
      </c>
      <c r="I173" s="54" t="s">
        <v>41</v>
      </c>
      <c r="J173" s="259">
        <f t="shared" si="14"/>
        <v>0.437056</v>
      </c>
      <c r="K173" s="55" t="s">
        <v>3</v>
      </c>
      <c r="L173" s="569"/>
    </row>
    <row r="174" spans="1:13" ht="14.55" customHeight="1" x14ac:dyDescent="0.3">
      <c r="A174" s="161"/>
      <c r="B174" s="61" t="s">
        <v>86</v>
      </c>
      <c r="C174" s="430" t="e">
        <f>SUM(C175:C177,#REF!)</f>
        <v>#REF!</v>
      </c>
      <c r="D174" s="51"/>
      <c r="E174" s="50"/>
      <c r="F174" s="50"/>
      <c r="G174" s="50"/>
      <c r="H174" s="50" t="s">
        <v>7</v>
      </c>
      <c r="I174" s="50" t="s">
        <v>946</v>
      </c>
      <c r="J174" s="440">
        <v>1</v>
      </c>
      <c r="K174" s="42" t="s">
        <v>3</v>
      </c>
      <c r="L174" s="50"/>
    </row>
    <row r="175" spans="1:13" ht="25.05" customHeight="1" x14ac:dyDescent="0.3">
      <c r="A175" s="553" t="s">
        <v>87</v>
      </c>
      <c r="B175" s="16" t="s">
        <v>588</v>
      </c>
      <c r="C175" s="227">
        <v>0.21670834042553189</v>
      </c>
      <c r="D175" s="30"/>
      <c r="E175" s="228"/>
      <c r="G175" s="564" t="s">
        <v>956</v>
      </c>
      <c r="H175" s="16" t="s">
        <v>5</v>
      </c>
      <c r="I175" s="16" t="s">
        <v>881</v>
      </c>
      <c r="J175" s="171">
        <v>0.95</v>
      </c>
      <c r="K175" s="15" t="s">
        <v>3</v>
      </c>
    </row>
    <row r="176" spans="1:13" ht="25.95" customHeight="1" x14ac:dyDescent="0.3">
      <c r="A176" s="553"/>
      <c r="B176" s="16" t="s">
        <v>18</v>
      </c>
      <c r="C176" s="227">
        <v>1.4577702127659574E-2</v>
      </c>
      <c r="D176" s="30"/>
      <c r="E176" s="228"/>
      <c r="G176" s="565"/>
      <c r="H176" s="16" t="s">
        <v>5</v>
      </c>
      <c r="I176" s="16" t="s">
        <v>18</v>
      </c>
      <c r="J176" s="171">
        <v>2.5000000000000001E-2</v>
      </c>
      <c r="K176" s="15" t="s">
        <v>3</v>
      </c>
      <c r="L176" s="434"/>
    </row>
    <row r="177" spans="1:13" ht="32.549999999999997" customHeight="1" x14ac:dyDescent="0.3">
      <c r="A177" s="553"/>
      <c r="B177" s="16" t="s">
        <v>98</v>
      </c>
      <c r="C177" s="227">
        <v>1.3451979574468054E-2</v>
      </c>
      <c r="D177" s="30"/>
      <c r="E177" s="228"/>
      <c r="G177" s="566"/>
      <c r="H177" s="16" t="s">
        <v>5</v>
      </c>
      <c r="I177" s="25" t="s">
        <v>153</v>
      </c>
      <c r="J177" s="171">
        <v>2.5000000000000001E-2</v>
      </c>
      <c r="K177" s="15" t="s">
        <v>3</v>
      </c>
      <c r="L177" s="433" t="s">
        <v>908</v>
      </c>
    </row>
    <row r="178" spans="1:13" ht="28.8" x14ac:dyDescent="0.3">
      <c r="A178" s="553"/>
      <c r="B178" s="16" t="s">
        <v>145</v>
      </c>
      <c r="C178" s="21" t="s">
        <v>69</v>
      </c>
      <c r="G178" s="33"/>
      <c r="H178" s="16" t="s">
        <v>5</v>
      </c>
      <c r="I178" s="25" t="s">
        <v>134</v>
      </c>
      <c r="J178" s="223">
        <f>0.28*0.02</f>
        <v>5.6000000000000008E-3</v>
      </c>
      <c r="K178" s="15" t="s">
        <v>3</v>
      </c>
      <c r="L178" s="25" t="s">
        <v>1158</v>
      </c>
    </row>
    <row r="179" spans="1:13" ht="129.6" x14ac:dyDescent="0.3">
      <c r="A179" s="553"/>
      <c r="B179" s="16" t="s">
        <v>133</v>
      </c>
      <c r="C179" s="34" t="s">
        <v>131</v>
      </c>
      <c r="E179" s="25" t="s">
        <v>304</v>
      </c>
      <c r="F179" s="16" t="s">
        <v>123</v>
      </c>
      <c r="G179" s="144" t="s">
        <v>501</v>
      </c>
      <c r="H179" s="16" t="s">
        <v>5</v>
      </c>
      <c r="I179" s="17" t="s">
        <v>754</v>
      </c>
      <c r="J179" s="171">
        <f>(AVERAGE(56,71)*kWh_cell_NCA)/J84</f>
        <v>27.592037266533598</v>
      </c>
      <c r="K179" s="28" t="s">
        <v>21</v>
      </c>
      <c r="L179" s="25" t="s">
        <v>641</v>
      </c>
    </row>
    <row r="180" spans="1:13" ht="28.8" x14ac:dyDescent="0.3">
      <c r="A180" s="553"/>
      <c r="B180" s="25" t="s">
        <v>297</v>
      </c>
      <c r="C180" s="91">
        <f>SUM('info solvents'!G5,'info solvents'!G7,'info solvents'!G8)</f>
        <v>0.33099999999999996</v>
      </c>
      <c r="D180" s="319"/>
      <c r="E180" s="25" t="s">
        <v>194</v>
      </c>
      <c r="F180" s="25" t="s">
        <v>299</v>
      </c>
      <c r="G180" s="82" t="s">
        <v>952</v>
      </c>
      <c r="H180" s="25" t="s">
        <v>5</v>
      </c>
      <c r="I180" s="25" t="s">
        <v>45</v>
      </c>
      <c r="J180" s="171">
        <f>C180/'info solvents'!$O$5*specific_energy_NCA</f>
        <v>0.50099694327527211</v>
      </c>
      <c r="K180" s="28" t="s">
        <v>4</v>
      </c>
      <c r="L180" s="23" t="s">
        <v>386</v>
      </c>
    </row>
    <row r="181" spans="1:13" x14ac:dyDescent="0.3">
      <c r="A181" s="572"/>
      <c r="B181" s="139"/>
      <c r="C181" s="189"/>
      <c r="D181" s="431"/>
      <c r="E181" s="139"/>
      <c r="F181" s="139"/>
      <c r="G181" s="192"/>
      <c r="H181" s="139" t="s">
        <v>5</v>
      </c>
      <c r="I181" s="139" t="s">
        <v>16</v>
      </c>
      <c r="J181" s="444">
        <v>4.0000000000000001E-10</v>
      </c>
      <c r="K181" s="220" t="s">
        <v>22</v>
      </c>
      <c r="L181" s="403"/>
    </row>
    <row r="182" spans="1:13" ht="28.8" x14ac:dyDescent="0.3">
      <c r="A182" s="558"/>
      <c r="B182" s="54" t="s">
        <v>135</v>
      </c>
      <c r="C182" s="88">
        <v>1</v>
      </c>
      <c r="D182" s="88"/>
      <c r="E182" s="54" t="s">
        <v>125</v>
      </c>
      <c r="F182" s="54"/>
      <c r="G182" s="221" t="s">
        <v>126</v>
      </c>
      <c r="H182" s="54" t="s">
        <v>164</v>
      </c>
      <c r="I182" s="63" t="s">
        <v>134</v>
      </c>
      <c r="J182" s="260">
        <f>NMP</f>
        <v>5.6000000000000008E-3</v>
      </c>
      <c r="K182" s="55" t="s">
        <v>3</v>
      </c>
      <c r="L182" s="222"/>
    </row>
    <row r="183" spans="1:13" ht="15" x14ac:dyDescent="0.3">
      <c r="A183" s="554" t="s">
        <v>73</v>
      </c>
      <c r="B183" s="105" t="s">
        <v>757</v>
      </c>
      <c r="C183" s="276"/>
      <c r="D183" s="276"/>
      <c r="E183" s="140"/>
      <c r="F183" s="140"/>
      <c r="G183" s="140"/>
      <c r="H183" s="140" t="s">
        <v>7</v>
      </c>
      <c r="I183" s="140" t="s">
        <v>750</v>
      </c>
      <c r="J183" s="276">
        <v>1</v>
      </c>
      <c r="K183" s="105"/>
      <c r="L183" s="231"/>
      <c r="M183" s="105"/>
    </row>
    <row r="184" spans="1:13" ht="14.55" customHeight="1" x14ac:dyDescent="0.3">
      <c r="A184" s="555"/>
      <c r="B184" s="56"/>
      <c r="C184" s="51"/>
      <c r="D184" s="473"/>
      <c r="E184" s="50"/>
      <c r="F184" s="50" t="s">
        <v>40</v>
      </c>
      <c r="G184" s="50"/>
      <c r="H184" s="50" t="s">
        <v>5</v>
      </c>
      <c r="I184" s="50" t="s">
        <v>12</v>
      </c>
      <c r="J184" s="137">
        <v>1</v>
      </c>
      <c r="K184" s="42" t="s">
        <v>3</v>
      </c>
      <c r="L184" s="50"/>
      <c r="M184" s="42"/>
    </row>
    <row r="185" spans="1:13" x14ac:dyDescent="0.3">
      <c r="A185" s="555"/>
      <c r="B185" s="15"/>
      <c r="H185" s="16" t="s">
        <v>5</v>
      </c>
      <c r="I185" s="16" t="s">
        <v>13</v>
      </c>
      <c r="J185" s="19">
        <f>J184</f>
        <v>1</v>
      </c>
      <c r="K185" s="15" t="s">
        <v>3</v>
      </c>
      <c r="M185" s="15"/>
    </row>
    <row r="186" spans="1:13" ht="72" x14ac:dyDescent="0.3">
      <c r="A186" s="555"/>
      <c r="B186" s="15"/>
      <c r="H186" s="16" t="s">
        <v>5</v>
      </c>
      <c r="I186" s="72" t="s">
        <v>15</v>
      </c>
      <c r="J186" s="150">
        <f>0.13*J184/0.393</f>
        <v>0.33078880407124683</v>
      </c>
      <c r="K186" s="15" t="s">
        <v>3</v>
      </c>
      <c r="L186" s="139" t="s">
        <v>1092</v>
      </c>
      <c r="M186" s="15"/>
    </row>
    <row r="187" spans="1:13" s="209" customFormat="1" ht="72" x14ac:dyDescent="0.3">
      <c r="A187" s="555"/>
      <c r="B187" s="220"/>
      <c r="C187" s="189"/>
      <c r="D187" s="189"/>
      <c r="E187" s="139"/>
      <c r="F187" s="139"/>
      <c r="G187" s="139"/>
      <c r="H187" s="25" t="s">
        <v>5</v>
      </c>
      <c r="I187" s="139" t="s">
        <v>1022</v>
      </c>
      <c r="J187" s="474">
        <f>0.62*J186</f>
        <v>0.20508905852417303</v>
      </c>
      <c r="K187" s="475" t="s">
        <v>3</v>
      </c>
      <c r="L187" s="477" t="s">
        <v>990</v>
      </c>
      <c r="M187" s="476"/>
    </row>
    <row r="188" spans="1:13" x14ac:dyDescent="0.3">
      <c r="A188" s="555"/>
      <c r="B188" s="71"/>
      <c r="C188" s="147"/>
      <c r="D188" s="147"/>
      <c r="E188" s="72"/>
      <c r="F188" s="72"/>
      <c r="G188" s="72"/>
      <c r="H188" s="16" t="s">
        <v>5</v>
      </c>
      <c r="I188" s="72" t="s">
        <v>657</v>
      </c>
      <c r="J188" s="199">
        <v>1.5E-10</v>
      </c>
      <c r="K188" s="71" t="s">
        <v>22</v>
      </c>
      <c r="L188" s="140" t="s">
        <v>991</v>
      </c>
      <c r="M188" s="71"/>
    </row>
    <row r="189" spans="1:13" x14ac:dyDescent="0.3">
      <c r="A189" s="556"/>
      <c r="B189" s="118"/>
      <c r="C189" s="134"/>
      <c r="D189" s="88"/>
      <c r="E189" s="54"/>
      <c r="F189" s="54"/>
      <c r="G189" s="54"/>
      <c r="H189" s="54" t="s">
        <v>307</v>
      </c>
      <c r="I189" s="63" t="s">
        <v>988</v>
      </c>
      <c r="J189" s="259">
        <f>SUM(J187,J186)</f>
        <v>0.53587786259541992</v>
      </c>
      <c r="K189" s="55" t="s">
        <v>3</v>
      </c>
      <c r="L189" s="63" t="s">
        <v>989</v>
      </c>
      <c r="M189" s="55"/>
    </row>
    <row r="190" spans="1:13" ht="28.8" x14ac:dyDescent="0.3">
      <c r="A190" s="567" t="s">
        <v>948</v>
      </c>
      <c r="B190" s="50" t="s">
        <v>588</v>
      </c>
      <c r="C190" s="51">
        <v>1</v>
      </c>
      <c r="D190" s="51"/>
      <c r="E190" s="50" t="s">
        <v>3</v>
      </c>
      <c r="F190" s="50"/>
      <c r="G190" s="50"/>
      <c r="H190" s="321" t="s">
        <v>7</v>
      </c>
      <c r="I190" s="42" t="s">
        <v>881</v>
      </c>
      <c r="J190" s="440">
        <v>1</v>
      </c>
      <c r="K190" s="42" t="s">
        <v>3</v>
      </c>
      <c r="L190" s="61" t="s">
        <v>575</v>
      </c>
    </row>
    <row r="191" spans="1:13" ht="28.8" x14ac:dyDescent="0.3">
      <c r="A191" s="553"/>
      <c r="B191" s="16" t="s">
        <v>949</v>
      </c>
      <c r="C191" s="19">
        <v>0.95</v>
      </c>
      <c r="E191" s="16" t="s">
        <v>3</v>
      </c>
      <c r="F191" s="16" t="s">
        <v>574</v>
      </c>
      <c r="H191" s="17" t="s">
        <v>5</v>
      </c>
      <c r="I191" s="15" t="s">
        <v>947</v>
      </c>
      <c r="J191" s="264">
        <f>C191</f>
        <v>0.95</v>
      </c>
      <c r="K191" s="15" t="s">
        <v>3</v>
      </c>
    </row>
    <row r="192" spans="1:13" ht="28.8" x14ac:dyDescent="0.3">
      <c r="A192" s="553"/>
      <c r="B192" s="16" t="s">
        <v>555</v>
      </c>
      <c r="C192" s="19">
        <v>0.25</v>
      </c>
      <c r="E192" s="16" t="s">
        <v>3</v>
      </c>
      <c r="F192" s="16" t="s">
        <v>574</v>
      </c>
      <c r="H192" s="17" t="s">
        <v>5</v>
      </c>
      <c r="I192" s="15" t="s">
        <v>555</v>
      </c>
      <c r="J192" s="264">
        <f>C192</f>
        <v>0.25</v>
      </c>
      <c r="K192" s="15" t="s">
        <v>3</v>
      </c>
    </row>
    <row r="193" spans="1:12" ht="28.8" x14ac:dyDescent="0.3">
      <c r="A193" s="553"/>
      <c r="B193" s="16" t="s">
        <v>570</v>
      </c>
      <c r="C193" s="19">
        <v>0.04</v>
      </c>
      <c r="E193" s="16" t="s">
        <v>3</v>
      </c>
      <c r="F193" s="16" t="s">
        <v>574</v>
      </c>
      <c r="H193" s="16" t="s">
        <v>36</v>
      </c>
      <c r="I193" s="16" t="s">
        <v>626</v>
      </c>
      <c r="J193" s="223">
        <f>C193</f>
        <v>0.04</v>
      </c>
      <c r="K193" s="15" t="s">
        <v>3</v>
      </c>
      <c r="L193" s="16" t="s">
        <v>627</v>
      </c>
    </row>
    <row r="194" spans="1:12" ht="72" x14ac:dyDescent="0.3">
      <c r="A194" s="553"/>
      <c r="B194" s="16" t="s">
        <v>97</v>
      </c>
      <c r="C194" s="34">
        <v>24.765000000000001</v>
      </c>
      <c r="E194" s="16" t="s">
        <v>652</v>
      </c>
      <c r="F194" s="16" t="s">
        <v>957</v>
      </c>
      <c r="G194" s="16" t="s">
        <v>640</v>
      </c>
      <c r="H194" s="17" t="s">
        <v>5</v>
      </c>
      <c r="I194" s="16" t="s">
        <v>45</v>
      </c>
      <c r="J194" s="171">
        <f>C194*mmBTU_to_MJ*MJ_to_kWh/1000</f>
        <v>7.2579118729915209</v>
      </c>
      <c r="K194" s="15" t="s">
        <v>4</v>
      </c>
      <c r="L194" s="25"/>
    </row>
    <row r="195" spans="1:12" x14ac:dyDescent="0.3">
      <c r="A195" s="572"/>
      <c r="B195" s="72"/>
      <c r="C195" s="147"/>
      <c r="D195" s="147"/>
      <c r="E195" s="72"/>
      <c r="F195" s="72"/>
      <c r="G195" s="72"/>
      <c r="H195" s="404" t="s">
        <v>5</v>
      </c>
      <c r="I195" s="72" t="s">
        <v>16</v>
      </c>
      <c r="J195" s="444">
        <f>1/(27000*10^(3)*50)</f>
        <v>7.4074074074074071E-10</v>
      </c>
      <c r="K195" s="71" t="s">
        <v>22</v>
      </c>
      <c r="L195" s="25" t="s">
        <v>663</v>
      </c>
    </row>
    <row r="196" spans="1:12" ht="28.8" x14ac:dyDescent="0.3">
      <c r="A196" s="558"/>
      <c r="B196" s="54" t="s">
        <v>144</v>
      </c>
      <c r="C196" s="62" t="s">
        <v>69</v>
      </c>
      <c r="D196" s="88"/>
      <c r="E196" s="54"/>
      <c r="F196" s="54"/>
      <c r="G196" s="54" t="s">
        <v>418</v>
      </c>
      <c r="H196" s="54" t="s">
        <v>164</v>
      </c>
      <c r="I196" s="63" t="s">
        <v>32</v>
      </c>
      <c r="J196" s="259">
        <f>(SUM($J$191:$J$193)-SUM($J$190))/1000</f>
        <v>2.3999999999999998E-4</v>
      </c>
      <c r="K196" s="118" t="s">
        <v>55</v>
      </c>
      <c r="L196" s="63" t="s">
        <v>1012</v>
      </c>
    </row>
    <row r="197" spans="1:12" ht="15" x14ac:dyDescent="0.3">
      <c r="A197" s="567" t="s">
        <v>571</v>
      </c>
      <c r="B197" s="50" t="s">
        <v>571</v>
      </c>
      <c r="C197" s="51">
        <v>1</v>
      </c>
      <c r="D197" s="51"/>
      <c r="E197" s="50" t="s">
        <v>3</v>
      </c>
      <c r="F197" s="50"/>
      <c r="G197" s="50"/>
      <c r="H197" s="321" t="s">
        <v>7</v>
      </c>
      <c r="I197" s="42" t="s">
        <v>947</v>
      </c>
      <c r="J197" s="440">
        <v>1</v>
      </c>
      <c r="K197" s="42" t="s">
        <v>3</v>
      </c>
      <c r="L197" s="50"/>
    </row>
    <row r="198" spans="1:12" ht="28.8" x14ac:dyDescent="0.3">
      <c r="A198" s="553"/>
      <c r="B198" s="16" t="s">
        <v>569</v>
      </c>
      <c r="C198" s="34">
        <v>0.09</v>
      </c>
      <c r="E198" s="16" t="s">
        <v>3</v>
      </c>
      <c r="F198" s="16" t="s">
        <v>618</v>
      </c>
      <c r="H198" s="17" t="s">
        <v>5</v>
      </c>
      <c r="I198" s="15" t="s">
        <v>651</v>
      </c>
      <c r="J198" s="223">
        <f>C198</f>
        <v>0.09</v>
      </c>
      <c r="K198" s="15" t="s">
        <v>3</v>
      </c>
    </row>
    <row r="199" spans="1:12" ht="28.8" x14ac:dyDescent="0.3">
      <c r="A199" s="553"/>
      <c r="B199" s="16" t="s">
        <v>539</v>
      </c>
      <c r="C199" s="34">
        <v>1.36</v>
      </c>
      <c r="E199" s="16" t="s">
        <v>3</v>
      </c>
      <c r="F199" s="16" t="s">
        <v>618</v>
      </c>
      <c r="H199" s="17" t="s">
        <v>5</v>
      </c>
      <c r="I199" s="16" t="s">
        <v>46</v>
      </c>
      <c r="J199" s="264">
        <f t="shared" ref="J199:J201" si="15">C199</f>
        <v>1.36</v>
      </c>
      <c r="K199" s="15" t="s">
        <v>3</v>
      </c>
    </row>
    <row r="200" spans="1:12" ht="28.8" x14ac:dyDescent="0.3">
      <c r="A200" s="553"/>
      <c r="B200" s="16" t="s">
        <v>34</v>
      </c>
      <c r="C200" s="34">
        <v>0.26</v>
      </c>
      <c r="E200" s="16" t="s">
        <v>3</v>
      </c>
      <c r="F200" s="16" t="s">
        <v>618</v>
      </c>
      <c r="H200" s="17" t="s">
        <v>5</v>
      </c>
      <c r="I200" s="16" t="s">
        <v>48</v>
      </c>
      <c r="J200" s="171">
        <f t="shared" si="15"/>
        <v>0.26</v>
      </c>
      <c r="K200" s="15" t="s">
        <v>3</v>
      </c>
    </row>
    <row r="201" spans="1:12" ht="28.8" x14ac:dyDescent="0.3">
      <c r="A201" s="553"/>
      <c r="B201" s="16" t="s">
        <v>35</v>
      </c>
      <c r="C201" s="19">
        <v>0.88</v>
      </c>
      <c r="E201" s="16" t="s">
        <v>3</v>
      </c>
      <c r="F201" s="16" t="s">
        <v>618</v>
      </c>
      <c r="H201" s="17" t="s">
        <v>5</v>
      </c>
      <c r="I201" s="16" t="s">
        <v>15</v>
      </c>
      <c r="J201" s="171">
        <f t="shared" si="15"/>
        <v>0.88</v>
      </c>
      <c r="K201" s="15" t="s">
        <v>3</v>
      </c>
    </row>
    <row r="202" spans="1:12" ht="129.6" x14ac:dyDescent="0.3">
      <c r="A202" s="553"/>
      <c r="B202" s="16" t="s">
        <v>573</v>
      </c>
      <c r="C202" s="19">
        <v>0.37</v>
      </c>
      <c r="E202" s="16" t="s">
        <v>3</v>
      </c>
      <c r="F202" s="16" t="s">
        <v>618</v>
      </c>
      <c r="G202" s="16" t="s">
        <v>785</v>
      </c>
      <c r="H202" s="17" t="s">
        <v>5</v>
      </c>
      <c r="I202" s="16" t="s">
        <v>219</v>
      </c>
      <c r="J202" s="150">
        <f>C202*0.49*0.1</f>
        <v>1.813E-2</v>
      </c>
      <c r="K202" s="15" t="s">
        <v>3</v>
      </c>
      <c r="L202" s="16" t="s">
        <v>1014</v>
      </c>
    </row>
    <row r="203" spans="1:12" x14ac:dyDescent="0.3">
      <c r="A203" s="553"/>
      <c r="C203" s="19"/>
      <c r="H203" s="17" t="s">
        <v>6</v>
      </c>
      <c r="I203" s="16" t="s">
        <v>220</v>
      </c>
      <c r="J203" s="32">
        <f>ammonia_liquid_cathode_precursor</f>
        <v>1.813E-2</v>
      </c>
      <c r="K203" s="15" t="s">
        <v>3</v>
      </c>
      <c r="L203" s="16" t="s">
        <v>1013</v>
      </c>
    </row>
    <row r="204" spans="1:12" ht="28.8" x14ac:dyDescent="0.3">
      <c r="A204" s="553"/>
      <c r="C204" s="19"/>
      <c r="H204" s="17" t="s">
        <v>5</v>
      </c>
      <c r="I204" s="16" t="s">
        <v>16</v>
      </c>
      <c r="J204" s="190">
        <f>1/(27000*10^(3)*50)</f>
        <v>7.4074074074074071E-10</v>
      </c>
      <c r="K204" s="15" t="s">
        <v>22</v>
      </c>
      <c r="L204" s="16" t="s">
        <v>659</v>
      </c>
    </row>
    <row r="205" spans="1:12" ht="72" x14ac:dyDescent="0.3">
      <c r="A205" s="553"/>
      <c r="B205" s="16" t="s">
        <v>572</v>
      </c>
      <c r="C205" s="34">
        <v>38.618000000000002</v>
      </c>
      <c r="E205" s="16" t="s">
        <v>653</v>
      </c>
      <c r="F205" s="16" t="s">
        <v>629</v>
      </c>
      <c r="G205" s="16" t="s">
        <v>639</v>
      </c>
      <c r="H205" s="17" t="s">
        <v>5</v>
      </c>
      <c r="I205" s="17" t="s">
        <v>754</v>
      </c>
      <c r="J205" s="171">
        <f>C205*mmBTU_to_MJ/1000</f>
        <v>40.744152608000007</v>
      </c>
      <c r="K205" s="15" t="s">
        <v>21</v>
      </c>
      <c r="L205" s="16" t="s">
        <v>196</v>
      </c>
    </row>
    <row r="206" spans="1:12" ht="57.6" x14ac:dyDescent="0.3">
      <c r="A206" s="553"/>
      <c r="B206" s="72" t="s">
        <v>39</v>
      </c>
      <c r="C206" s="257">
        <v>168.62310984308101</v>
      </c>
      <c r="D206" s="147"/>
      <c r="E206" s="72" t="s">
        <v>42</v>
      </c>
      <c r="F206" s="72" t="s">
        <v>620</v>
      </c>
      <c r="G206" s="139" t="s">
        <v>786</v>
      </c>
      <c r="H206" s="72" t="s">
        <v>36</v>
      </c>
      <c r="I206" s="72" t="s">
        <v>161</v>
      </c>
      <c r="J206" s="479">
        <f>C206*gal_to_kg*10^(-6)</f>
        <v>6.3823847075606169E-4</v>
      </c>
      <c r="K206" s="71" t="s">
        <v>55</v>
      </c>
      <c r="L206" s="72" t="s">
        <v>910</v>
      </c>
    </row>
    <row r="207" spans="1:12" ht="28.8" x14ac:dyDescent="0.3">
      <c r="A207" s="572"/>
      <c r="B207" s="5"/>
      <c r="C207" s="314"/>
      <c r="D207" s="218"/>
      <c r="E207" s="5"/>
      <c r="F207" s="5"/>
      <c r="G207" s="477"/>
      <c r="H207" s="477" t="s">
        <v>307</v>
      </c>
      <c r="I207" s="5" t="s">
        <v>54</v>
      </c>
      <c r="J207" s="481">
        <f>water_cathode_precursor</f>
        <v>6.3823847075606169E-4</v>
      </c>
      <c r="K207" s="11" t="s">
        <v>55</v>
      </c>
      <c r="L207" s="5" t="s">
        <v>419</v>
      </c>
    </row>
    <row r="208" spans="1:12" s="4" customFormat="1" ht="100.8" x14ac:dyDescent="0.3">
      <c r="A208" s="572"/>
      <c r="B208" s="202"/>
      <c r="C208" s="482"/>
      <c r="D208" s="483"/>
      <c r="E208" s="202"/>
      <c r="F208" s="202"/>
      <c r="G208" s="278"/>
      <c r="H208" s="278" t="s">
        <v>307</v>
      </c>
      <c r="I208" s="202" t="s">
        <v>1015</v>
      </c>
      <c r="J208" s="484">
        <f>SUM(J198:J201)-J197</f>
        <v>1.5900000000000003</v>
      </c>
      <c r="K208" s="203" t="s">
        <v>3</v>
      </c>
      <c r="L208" s="63" t="s">
        <v>1018</v>
      </c>
    </row>
    <row r="209" spans="1:13" ht="43.5" customHeight="1" x14ac:dyDescent="0.3">
      <c r="A209" s="554" t="s">
        <v>996</v>
      </c>
      <c r="B209" s="64" t="s">
        <v>201</v>
      </c>
      <c r="C209" s="97">
        <v>1</v>
      </c>
      <c r="D209" s="320"/>
      <c r="E209" s="64" t="s">
        <v>95</v>
      </c>
      <c r="F209" s="50" t="s">
        <v>644</v>
      </c>
      <c r="G209" s="50"/>
      <c r="H209" s="321" t="s">
        <v>7</v>
      </c>
      <c r="I209" s="50" t="s">
        <v>48</v>
      </c>
      <c r="J209" s="51">
        <f t="shared" ref="J209" si="16">C209</f>
        <v>1</v>
      </c>
      <c r="K209" s="42" t="s">
        <v>3</v>
      </c>
      <c r="L209" s="50" t="s">
        <v>1000</v>
      </c>
      <c r="M209" s="42"/>
    </row>
    <row r="210" spans="1:13" ht="43.2" x14ac:dyDescent="0.3">
      <c r="A210" s="555"/>
      <c r="B210" s="119" t="s">
        <v>764</v>
      </c>
      <c r="C210" s="98">
        <v>2.86</v>
      </c>
      <c r="D210" s="322"/>
      <c r="E210" s="120" t="s">
        <v>646</v>
      </c>
      <c r="F210" s="50" t="s">
        <v>645</v>
      </c>
      <c r="H210" s="39" t="s">
        <v>5</v>
      </c>
      <c r="I210" s="16" t="s">
        <v>763</v>
      </c>
      <c r="J210" s="256">
        <f>C210*(58.933/154.996)*(92.926/154.996)</f>
        <v>0.65195984098445203</v>
      </c>
      <c r="K210" s="15" t="s">
        <v>3</v>
      </c>
      <c r="L210" s="16" t="s">
        <v>1001</v>
      </c>
      <c r="M210" s="15"/>
    </row>
    <row r="211" spans="1:13" ht="27.45" customHeight="1" x14ac:dyDescent="0.3">
      <c r="A211" s="555"/>
      <c r="B211" s="36" t="s">
        <v>224</v>
      </c>
      <c r="C211" s="99">
        <v>2.57</v>
      </c>
      <c r="D211" s="322"/>
      <c r="E211" s="120" t="s">
        <v>646</v>
      </c>
      <c r="F211" s="50" t="s">
        <v>644</v>
      </c>
      <c r="G211" s="15"/>
      <c r="H211" s="39" t="s">
        <v>5</v>
      </c>
      <c r="I211" s="16" t="s">
        <v>158</v>
      </c>
      <c r="J211" s="34">
        <f>C211*(58.933/154.996)</f>
        <v>0.97717237864202933</v>
      </c>
      <c r="K211" s="15" t="s">
        <v>3</v>
      </c>
      <c r="L211" s="13"/>
    </row>
    <row r="212" spans="1:13" ht="43.2" x14ac:dyDescent="0.3">
      <c r="A212" s="555"/>
      <c r="B212" s="36" t="s">
        <v>206</v>
      </c>
      <c r="C212" s="99">
        <v>0.06</v>
      </c>
      <c r="D212" s="322"/>
      <c r="E212" s="120" t="s">
        <v>646</v>
      </c>
      <c r="F212" s="50" t="s">
        <v>644</v>
      </c>
      <c r="H212" s="39" t="s">
        <v>5</v>
      </c>
      <c r="I212" s="39" t="s">
        <v>369</v>
      </c>
      <c r="J212" s="256">
        <f>C212*(58.933/154.996)</f>
        <v>2.2813362925494848E-2</v>
      </c>
      <c r="K212" s="15" t="s">
        <v>3</v>
      </c>
      <c r="L212" s="537"/>
      <c r="M212" s="15"/>
    </row>
    <row r="213" spans="1:13" ht="43.2" x14ac:dyDescent="0.3">
      <c r="A213" s="555"/>
      <c r="B213" s="36" t="s">
        <v>225</v>
      </c>
      <c r="C213" s="99">
        <v>1.409</v>
      </c>
      <c r="D213" s="322"/>
      <c r="E213" s="120" t="s">
        <v>646</v>
      </c>
      <c r="F213" s="50" t="s">
        <v>644</v>
      </c>
      <c r="G213" s="15"/>
      <c r="H213" s="39" t="s">
        <v>5</v>
      </c>
      <c r="I213" s="16" t="s">
        <v>233</v>
      </c>
      <c r="J213" s="34">
        <f>C213*(58.933/154.996)</f>
        <v>0.53573380603370402</v>
      </c>
      <c r="K213" s="15" t="s">
        <v>3</v>
      </c>
      <c r="M213" s="15"/>
    </row>
    <row r="214" spans="1:13" ht="43.2" x14ac:dyDescent="0.3">
      <c r="A214" s="555"/>
      <c r="B214" s="36" t="s">
        <v>205</v>
      </c>
      <c r="C214" s="471">
        <v>4.7E-2</v>
      </c>
      <c r="D214" s="322"/>
      <c r="E214" s="120" t="s">
        <v>646</v>
      </c>
      <c r="F214" s="50" t="s">
        <v>644</v>
      </c>
      <c r="G214" s="15"/>
      <c r="H214" s="39" t="s">
        <v>5</v>
      </c>
      <c r="I214" s="16" t="s">
        <v>221</v>
      </c>
      <c r="J214" s="34">
        <f>C214*(58.933/154.996)</f>
        <v>1.7870467624970965E-2</v>
      </c>
      <c r="K214" s="15" t="s">
        <v>3</v>
      </c>
      <c r="M214" s="15"/>
    </row>
    <row r="215" spans="1:13" ht="43.2" x14ac:dyDescent="0.3">
      <c r="A215" s="555"/>
      <c r="B215" s="36" t="s">
        <v>226</v>
      </c>
      <c r="C215" s="99">
        <v>0.08</v>
      </c>
      <c r="D215" s="322"/>
      <c r="E215" s="120" t="s">
        <v>646</v>
      </c>
      <c r="F215" s="50" t="s">
        <v>644</v>
      </c>
      <c r="G215" s="16" t="s">
        <v>787</v>
      </c>
      <c r="H215" s="39" t="s">
        <v>5</v>
      </c>
      <c r="I215" s="16" t="s">
        <v>765</v>
      </c>
      <c r="J215" s="34">
        <f>C215*(58.933/154.996)</f>
        <v>3.0417817233993134E-2</v>
      </c>
      <c r="K215" s="15" t="s">
        <v>3</v>
      </c>
      <c r="M215" s="15"/>
    </row>
    <row r="216" spans="1:13" ht="28.8" x14ac:dyDescent="0.3">
      <c r="A216" s="555"/>
      <c r="B216" s="323" t="s">
        <v>204</v>
      </c>
      <c r="C216" s="324">
        <v>13092</v>
      </c>
      <c r="D216" s="322"/>
      <c r="E216" s="92" t="s">
        <v>647</v>
      </c>
      <c r="F216" s="50" t="s">
        <v>644</v>
      </c>
      <c r="G216" s="15"/>
      <c r="H216" s="25" t="s">
        <v>36</v>
      </c>
      <c r="I216" s="16" t="s">
        <v>161</v>
      </c>
      <c r="J216" s="34">
        <f>C216*(58.933/154.996)*gal_to_kg*10^(-6)</f>
        <v>1.8841259866448162E-2</v>
      </c>
      <c r="K216" s="15" t="s">
        <v>55</v>
      </c>
      <c r="L216" s="16" t="s">
        <v>998</v>
      </c>
      <c r="M216" s="15"/>
    </row>
    <row r="217" spans="1:13" ht="43.2" x14ac:dyDescent="0.3">
      <c r="A217" s="555"/>
      <c r="B217" s="325" t="s">
        <v>203</v>
      </c>
      <c r="C217" s="326">
        <v>26.838000000000001</v>
      </c>
      <c r="D217" s="327"/>
      <c r="E217" s="328" t="s">
        <v>648</v>
      </c>
      <c r="F217" s="121" t="s">
        <v>644</v>
      </c>
      <c r="G217" s="71"/>
      <c r="H217" s="329" t="s">
        <v>5</v>
      </c>
      <c r="I217" s="72" t="s">
        <v>512</v>
      </c>
      <c r="J217" s="265">
        <f>C217*(58.93/154.95)*mmBTU_to_MJ/1000</f>
        <v>10.768879582104164</v>
      </c>
      <c r="K217" s="71" t="s">
        <v>21</v>
      </c>
      <c r="L217" s="72"/>
      <c r="M217" s="71"/>
    </row>
    <row r="218" spans="1:13" ht="43.2" x14ac:dyDescent="0.3">
      <c r="A218" s="555"/>
      <c r="B218" s="330" t="s">
        <v>202</v>
      </c>
      <c r="C218" s="331">
        <v>10.34</v>
      </c>
      <c r="D218" s="332"/>
      <c r="E218" s="333" t="s">
        <v>648</v>
      </c>
      <c r="F218" s="5" t="s">
        <v>644</v>
      </c>
      <c r="G218" s="11"/>
      <c r="H218" s="334" t="s">
        <v>5</v>
      </c>
      <c r="I218" s="5" t="s">
        <v>45</v>
      </c>
      <c r="J218" s="254">
        <f>C218*(58.933/154.996)*mmBTU_to_MJ*MJ_to_kWh/1000</f>
        <v>1.1522108384115171</v>
      </c>
      <c r="K218" s="11" t="s">
        <v>4</v>
      </c>
      <c r="L218" s="5" t="s">
        <v>231</v>
      </c>
      <c r="M218" s="11"/>
    </row>
    <row r="219" spans="1:13" ht="15" x14ac:dyDescent="0.3">
      <c r="A219" s="555"/>
      <c r="B219" s="330"/>
      <c r="C219" s="331"/>
      <c r="D219" s="332"/>
      <c r="E219" s="333"/>
      <c r="F219" s="5"/>
      <c r="G219" s="11"/>
      <c r="H219" s="472" t="s">
        <v>307</v>
      </c>
      <c r="I219" s="5" t="s">
        <v>54</v>
      </c>
      <c r="J219" s="254">
        <f>J216</f>
        <v>1.8841259866448162E-2</v>
      </c>
      <c r="K219" s="11" t="s">
        <v>55</v>
      </c>
      <c r="L219" s="5" t="s">
        <v>997</v>
      </c>
      <c r="M219" s="11"/>
    </row>
    <row r="220" spans="1:13" ht="28.8" x14ac:dyDescent="0.3">
      <c r="A220" s="555"/>
      <c r="B220" s="330"/>
      <c r="C220" s="331"/>
      <c r="D220" s="332"/>
      <c r="E220" s="333"/>
      <c r="F220" s="5"/>
      <c r="G220" s="11"/>
      <c r="H220" s="472" t="s">
        <v>6</v>
      </c>
      <c r="I220" s="5" t="s">
        <v>983</v>
      </c>
      <c r="J220" s="10">
        <f>((2*18.015)/154.996)/1000</f>
        <v>2.3245761180933698E-4</v>
      </c>
      <c r="K220" s="11" t="s">
        <v>55</v>
      </c>
      <c r="L220" s="5" t="s">
        <v>1005</v>
      </c>
      <c r="M220" s="11"/>
    </row>
    <row r="221" spans="1:13" ht="15" x14ac:dyDescent="0.3">
      <c r="A221" s="555"/>
      <c r="B221" s="330"/>
      <c r="C221" s="331"/>
      <c r="D221" s="332"/>
      <c r="E221" s="333"/>
      <c r="F221" s="5"/>
      <c r="G221" s="11"/>
      <c r="H221" s="472" t="s">
        <v>307</v>
      </c>
      <c r="I221" s="5" t="s">
        <v>984</v>
      </c>
      <c r="J221" s="253">
        <f>SUM(J210:J215)-J209-J220*1000</f>
        <v>1.0035100616353074</v>
      </c>
      <c r="K221" s="11" t="s">
        <v>3</v>
      </c>
      <c r="L221" s="5" t="s">
        <v>999</v>
      </c>
      <c r="M221" s="11"/>
    </row>
    <row r="222" spans="1:13" ht="57.6" x14ac:dyDescent="0.3">
      <c r="A222" s="556"/>
      <c r="B222" s="130"/>
      <c r="C222" s="205"/>
      <c r="D222" s="205"/>
      <c r="E222" s="278"/>
      <c r="F222" s="278"/>
      <c r="G222" s="278"/>
      <c r="H222" s="278" t="s">
        <v>5</v>
      </c>
      <c r="I222" s="278" t="s">
        <v>16</v>
      </c>
      <c r="J222" s="205">
        <v>4.0000000000000001E-10</v>
      </c>
      <c r="K222" s="130" t="s">
        <v>22</v>
      </c>
      <c r="L222" s="278" t="s">
        <v>1004</v>
      </c>
      <c r="M222" s="130"/>
    </row>
    <row r="223" spans="1:13" ht="43.2" x14ac:dyDescent="0.3">
      <c r="A223" s="552" t="s">
        <v>240</v>
      </c>
      <c r="B223" s="452" t="s">
        <v>209</v>
      </c>
      <c r="C223" s="100">
        <v>1</v>
      </c>
      <c r="D223" s="51"/>
      <c r="E223" s="93" t="s">
        <v>3</v>
      </c>
      <c r="F223" s="50" t="s">
        <v>601</v>
      </c>
      <c r="G223" s="50"/>
      <c r="H223" s="321" t="s">
        <v>7</v>
      </c>
      <c r="I223" s="50" t="s">
        <v>232</v>
      </c>
      <c r="J223" s="437">
        <v>1</v>
      </c>
      <c r="K223" s="66" t="s">
        <v>3</v>
      </c>
      <c r="L223" s="50"/>
    </row>
    <row r="224" spans="1:13" ht="43.2" x14ac:dyDescent="0.3">
      <c r="A224" s="553"/>
      <c r="B224" s="453" t="s">
        <v>766</v>
      </c>
      <c r="C224" s="101">
        <v>130</v>
      </c>
      <c r="E224" s="94" t="s">
        <v>3</v>
      </c>
      <c r="F224" s="50" t="s">
        <v>601</v>
      </c>
      <c r="H224" s="39" t="s">
        <v>5</v>
      </c>
      <c r="I224" s="16" t="s">
        <v>236</v>
      </c>
      <c r="J224" s="171">
        <f>C224</f>
        <v>130</v>
      </c>
      <c r="K224" s="38" t="s">
        <v>3</v>
      </c>
      <c r="L224" s="17"/>
    </row>
    <row r="225" spans="1:12" ht="43.2" x14ac:dyDescent="0.3">
      <c r="A225" s="553"/>
      <c r="B225" s="453" t="s">
        <v>208</v>
      </c>
      <c r="C225" s="101">
        <v>2</v>
      </c>
      <c r="E225" s="94" t="s">
        <v>3</v>
      </c>
      <c r="F225" s="50" t="s">
        <v>601</v>
      </c>
      <c r="H225" s="16" t="s">
        <v>36</v>
      </c>
      <c r="I225" s="16" t="s">
        <v>243</v>
      </c>
      <c r="J225" s="171">
        <f t="shared" ref="J225:J232" si="17">C225</f>
        <v>2</v>
      </c>
      <c r="K225" s="38" t="s">
        <v>3</v>
      </c>
    </row>
    <row r="226" spans="1:12" ht="43.2" x14ac:dyDescent="0.3">
      <c r="A226" s="553"/>
      <c r="B226" s="453" t="s">
        <v>206</v>
      </c>
      <c r="C226" s="101">
        <v>2.6</v>
      </c>
      <c r="E226" s="94" t="s">
        <v>3</v>
      </c>
      <c r="F226" s="50" t="s">
        <v>601</v>
      </c>
      <c r="H226" s="335" t="s">
        <v>5</v>
      </c>
      <c r="I226" s="39" t="s">
        <v>369</v>
      </c>
      <c r="J226" s="171">
        <f t="shared" si="17"/>
        <v>2.6</v>
      </c>
      <c r="K226" s="38" t="s">
        <v>3</v>
      </c>
      <c r="L226" s="419"/>
    </row>
    <row r="227" spans="1:12" ht="43.2" x14ac:dyDescent="0.3">
      <c r="A227" s="553"/>
      <c r="B227" s="453" t="s">
        <v>228</v>
      </c>
      <c r="C227" s="101">
        <v>0.95</v>
      </c>
      <c r="E227" s="94" t="s">
        <v>3</v>
      </c>
      <c r="F227" s="50" t="s">
        <v>601</v>
      </c>
      <c r="H227" s="39" t="s">
        <v>5</v>
      </c>
      <c r="I227" s="16" t="s">
        <v>367</v>
      </c>
      <c r="J227" s="171">
        <f t="shared" si="17"/>
        <v>0.95</v>
      </c>
      <c r="K227" s="38" t="s">
        <v>3</v>
      </c>
    </row>
    <row r="228" spans="1:12" ht="43.2" x14ac:dyDescent="0.3">
      <c r="A228" s="553"/>
      <c r="B228" s="453" t="s">
        <v>223</v>
      </c>
      <c r="C228" s="101">
        <v>0.11</v>
      </c>
      <c r="E228" s="94" t="s">
        <v>3</v>
      </c>
      <c r="F228" s="50" t="s">
        <v>601</v>
      </c>
      <c r="H228" s="39" t="s">
        <v>5</v>
      </c>
      <c r="I228" s="16" t="s">
        <v>15</v>
      </c>
      <c r="J228" s="171">
        <f t="shared" si="17"/>
        <v>0.11</v>
      </c>
      <c r="K228" s="38" t="s">
        <v>3</v>
      </c>
    </row>
    <row r="229" spans="1:12" ht="43.2" x14ac:dyDescent="0.3">
      <c r="A229" s="553"/>
      <c r="B229" s="453" t="s">
        <v>229</v>
      </c>
      <c r="C229" s="101">
        <v>0.75</v>
      </c>
      <c r="E229" s="94" t="s">
        <v>3</v>
      </c>
      <c r="F229" s="50" t="s">
        <v>601</v>
      </c>
      <c r="H229" s="39" t="s">
        <v>5</v>
      </c>
      <c r="I229" s="15" t="s">
        <v>237</v>
      </c>
      <c r="J229" s="171">
        <f t="shared" si="17"/>
        <v>0.75</v>
      </c>
      <c r="K229" s="38" t="s">
        <v>3</v>
      </c>
    </row>
    <row r="230" spans="1:12" ht="43.2" x14ac:dyDescent="0.3">
      <c r="A230" s="553"/>
      <c r="B230" s="453" t="s">
        <v>204</v>
      </c>
      <c r="C230" s="101">
        <v>6.6</v>
      </c>
      <c r="E230" s="94" t="s">
        <v>3</v>
      </c>
      <c r="F230" s="50" t="s">
        <v>601</v>
      </c>
      <c r="H230" s="16" t="s">
        <v>36</v>
      </c>
      <c r="I230" s="16" t="s">
        <v>438</v>
      </c>
      <c r="J230" s="171">
        <f t="shared" si="17"/>
        <v>6.6</v>
      </c>
      <c r="K230" s="38" t="s">
        <v>55</v>
      </c>
      <c r="L230" s="16" t="s">
        <v>439</v>
      </c>
    </row>
    <row r="231" spans="1:12" ht="43.2" x14ac:dyDescent="0.3">
      <c r="A231" s="553"/>
      <c r="B231" s="454" t="s">
        <v>202</v>
      </c>
      <c r="C231" s="337">
        <v>20</v>
      </c>
      <c r="D231" s="147"/>
      <c r="E231" s="338" t="s">
        <v>21</v>
      </c>
      <c r="F231" s="50" t="s">
        <v>601</v>
      </c>
      <c r="G231" s="72"/>
      <c r="H231" s="329" t="s">
        <v>5</v>
      </c>
      <c r="I231" s="72" t="s">
        <v>440</v>
      </c>
      <c r="J231" s="171">
        <f t="shared" si="17"/>
        <v>20</v>
      </c>
      <c r="K231" s="339" t="s">
        <v>4</v>
      </c>
      <c r="L231" s="72" t="s">
        <v>231</v>
      </c>
    </row>
    <row r="232" spans="1:12" ht="43.2" x14ac:dyDescent="0.3">
      <c r="A232" s="558"/>
      <c r="B232" s="455" t="s">
        <v>227</v>
      </c>
      <c r="C232" s="127">
        <v>1.7999999999999999E-2</v>
      </c>
      <c r="D232" s="148"/>
      <c r="E232" s="128" t="s">
        <v>3</v>
      </c>
      <c r="F232" s="54" t="s">
        <v>601</v>
      </c>
      <c r="G232" s="89"/>
      <c r="H232" s="89" t="s">
        <v>164</v>
      </c>
      <c r="I232" s="89" t="s">
        <v>238</v>
      </c>
      <c r="J232" s="442">
        <f t="shared" si="17"/>
        <v>1.7999999999999999E-2</v>
      </c>
      <c r="K232" s="129" t="s">
        <v>3</v>
      </c>
      <c r="L232" s="89"/>
    </row>
    <row r="233" spans="1:12" ht="43.5" customHeight="1" x14ac:dyDescent="0.3">
      <c r="A233" s="550" t="s">
        <v>239</v>
      </c>
      <c r="B233" s="456" t="s">
        <v>207</v>
      </c>
      <c r="C233" s="102">
        <v>1</v>
      </c>
      <c r="D233" s="51"/>
      <c r="E233" s="95" t="s">
        <v>3</v>
      </c>
      <c r="F233" s="50" t="s">
        <v>601</v>
      </c>
      <c r="G233" s="50"/>
      <c r="H233" s="321" t="s">
        <v>7</v>
      </c>
      <c r="I233" s="50" t="s">
        <v>236</v>
      </c>
      <c r="J233" s="445">
        <v>1</v>
      </c>
      <c r="K233" s="42" t="s">
        <v>3</v>
      </c>
      <c r="L233" s="61" t="s">
        <v>437</v>
      </c>
    </row>
    <row r="234" spans="1:12" ht="43.2" x14ac:dyDescent="0.3">
      <c r="A234" s="550"/>
      <c r="B234" s="457" t="s">
        <v>212</v>
      </c>
      <c r="C234" s="103">
        <v>4.7000000000000002E-3</v>
      </c>
      <c r="E234" s="96" t="s">
        <v>3</v>
      </c>
      <c r="F234" s="50" t="s">
        <v>601</v>
      </c>
      <c r="H234" s="16" t="s">
        <v>36</v>
      </c>
      <c r="I234" s="16" t="s">
        <v>531</v>
      </c>
      <c r="J234" s="190">
        <f>C234</f>
        <v>4.7000000000000002E-3</v>
      </c>
      <c r="K234" s="15" t="s">
        <v>3</v>
      </c>
    </row>
    <row r="235" spans="1:12" ht="43.2" x14ac:dyDescent="0.3">
      <c r="A235" s="550"/>
      <c r="B235" s="458" t="s">
        <v>211</v>
      </c>
      <c r="C235" s="103">
        <v>7.1999999999999998E-3</v>
      </c>
      <c r="E235" s="96" t="s">
        <v>3</v>
      </c>
      <c r="F235" s="50" t="s">
        <v>601</v>
      </c>
      <c r="H235" s="16" t="s">
        <v>36</v>
      </c>
      <c r="I235" s="25" t="s">
        <v>378</v>
      </c>
      <c r="J235" s="190">
        <f t="shared" ref="J235:J238" si="18">C235</f>
        <v>7.1999999999999998E-3</v>
      </c>
      <c r="K235" s="15" t="s">
        <v>55</v>
      </c>
      <c r="L235" s="16" t="s">
        <v>532</v>
      </c>
    </row>
    <row r="236" spans="1:12" ht="43.2" x14ac:dyDescent="0.3">
      <c r="A236" s="550"/>
      <c r="B236" s="458" t="s">
        <v>213</v>
      </c>
      <c r="C236" s="340">
        <v>0.35</v>
      </c>
      <c r="E236" s="96" t="s">
        <v>21</v>
      </c>
      <c r="F236" s="50" t="s">
        <v>601</v>
      </c>
      <c r="H236" s="39" t="s">
        <v>5</v>
      </c>
      <c r="I236" s="16" t="s">
        <v>184</v>
      </c>
      <c r="J236" s="190">
        <f t="shared" si="18"/>
        <v>0.35</v>
      </c>
      <c r="K236" s="15" t="s">
        <v>21</v>
      </c>
    </row>
    <row r="237" spans="1:12" ht="43.2" x14ac:dyDescent="0.3">
      <c r="A237" s="550"/>
      <c r="B237" s="459" t="s">
        <v>214</v>
      </c>
      <c r="C237" s="342">
        <v>8.5999999999999998E-4</v>
      </c>
      <c r="D237" s="147"/>
      <c r="E237" s="343" t="s">
        <v>3</v>
      </c>
      <c r="F237" s="50" t="s">
        <v>601</v>
      </c>
      <c r="G237" s="72"/>
      <c r="H237" s="50" t="s">
        <v>164</v>
      </c>
      <c r="I237" s="72" t="s">
        <v>264</v>
      </c>
      <c r="J237" s="190">
        <f t="shared" si="18"/>
        <v>8.5999999999999998E-4</v>
      </c>
      <c r="K237" s="71" t="s">
        <v>3</v>
      </c>
      <c r="L237" s="72" t="s">
        <v>379</v>
      </c>
    </row>
    <row r="238" spans="1:12" ht="43.2" x14ac:dyDescent="0.3">
      <c r="A238" s="550"/>
      <c r="B238" s="345" t="s">
        <v>215</v>
      </c>
      <c r="C238" s="344">
        <v>8.8999999999999995E-5</v>
      </c>
      <c r="D238" s="218"/>
      <c r="E238" s="345" t="s">
        <v>3</v>
      </c>
      <c r="F238" s="50" t="s">
        <v>601</v>
      </c>
      <c r="G238" s="5"/>
      <c r="H238" s="50" t="s">
        <v>164</v>
      </c>
      <c r="I238" s="5" t="s">
        <v>191</v>
      </c>
      <c r="J238" s="259">
        <f t="shared" si="18"/>
        <v>8.8999999999999995E-5</v>
      </c>
      <c r="K238" s="11" t="s">
        <v>3</v>
      </c>
      <c r="L238" s="5" t="s">
        <v>380</v>
      </c>
    </row>
    <row r="239" spans="1:12" ht="87" customHeight="1" x14ac:dyDescent="0.3">
      <c r="A239" s="552" t="s">
        <v>669</v>
      </c>
      <c r="B239" s="68" t="s">
        <v>241</v>
      </c>
      <c r="C239" s="149"/>
      <c r="D239" s="149"/>
      <c r="E239" s="68"/>
      <c r="F239" s="68"/>
      <c r="G239" s="68" t="s">
        <v>309</v>
      </c>
      <c r="H239" s="432" t="s">
        <v>7</v>
      </c>
      <c r="I239" s="68" t="s">
        <v>765</v>
      </c>
      <c r="J239" s="443">
        <v>1</v>
      </c>
      <c r="K239" s="67" t="s">
        <v>3</v>
      </c>
      <c r="L239" s="68" t="s">
        <v>960</v>
      </c>
    </row>
    <row r="240" spans="1:12" ht="28.8" x14ac:dyDescent="0.3">
      <c r="A240" s="553"/>
      <c r="H240" s="25" t="s">
        <v>5</v>
      </c>
      <c r="I240" s="25" t="s">
        <v>246</v>
      </c>
      <c r="J240" s="171">
        <f>(2*64.04)*(1/process_efficiency)*1/190.05</f>
        <v>0.70939780390202034</v>
      </c>
      <c r="K240" s="15" t="s">
        <v>3</v>
      </c>
      <c r="L240" s="25" t="s">
        <v>430</v>
      </c>
    </row>
    <row r="241" spans="1:12" ht="28.8" x14ac:dyDescent="0.3">
      <c r="A241" s="553"/>
      <c r="H241" s="16" t="s">
        <v>5</v>
      </c>
      <c r="I241" s="16" t="s">
        <v>15</v>
      </c>
      <c r="J241" s="171">
        <f>2*39.99*(1/process_efficiency)*1/190.05</f>
        <v>0.44298591783325714</v>
      </c>
      <c r="K241" s="15" t="s">
        <v>3</v>
      </c>
      <c r="L241" s="25" t="s">
        <v>429</v>
      </c>
    </row>
    <row r="242" spans="1:12" ht="90" x14ac:dyDescent="0.35">
      <c r="A242" s="553"/>
      <c r="H242" s="16" t="s">
        <v>5</v>
      </c>
      <c r="I242" s="16" t="s">
        <v>159</v>
      </c>
      <c r="J242" s="91">
        <v>2.6000000000000002E-2</v>
      </c>
      <c r="K242" s="15" t="s">
        <v>3</v>
      </c>
      <c r="L242" s="416" t="s">
        <v>168</v>
      </c>
    </row>
    <row r="243" spans="1:12" ht="120" x14ac:dyDescent="0.3">
      <c r="A243" s="553"/>
      <c r="H243" s="16" t="s">
        <v>5</v>
      </c>
      <c r="I243" s="16" t="s">
        <v>16</v>
      </c>
      <c r="J243" s="91">
        <v>4.0000000000000001E-10</v>
      </c>
      <c r="K243" s="15" t="s">
        <v>22</v>
      </c>
      <c r="L243" s="315" t="s">
        <v>180</v>
      </c>
    </row>
    <row r="244" spans="1:12" ht="165" x14ac:dyDescent="0.35">
      <c r="A244" s="553"/>
      <c r="H244" s="16" t="s">
        <v>5</v>
      </c>
      <c r="I244" s="16" t="s">
        <v>19</v>
      </c>
      <c r="J244" s="91">
        <v>0.41599999999999998</v>
      </c>
      <c r="K244" s="15" t="s">
        <v>4</v>
      </c>
      <c r="L244" s="416" t="s">
        <v>166</v>
      </c>
    </row>
    <row r="245" spans="1:12" ht="165" x14ac:dyDescent="0.35">
      <c r="A245" s="553"/>
      <c r="H245" s="16" t="s">
        <v>5</v>
      </c>
      <c r="I245" s="16" t="s">
        <v>20</v>
      </c>
      <c r="J245" s="91">
        <v>2.3499999999999996</v>
      </c>
      <c r="K245" s="15" t="s">
        <v>21</v>
      </c>
      <c r="L245" s="416" t="s">
        <v>167</v>
      </c>
    </row>
    <row r="246" spans="1:12" ht="120" x14ac:dyDescent="0.35">
      <c r="A246" s="553"/>
      <c r="H246" s="16" t="s">
        <v>5</v>
      </c>
      <c r="I246" s="16" t="s">
        <v>157</v>
      </c>
      <c r="J246" s="91">
        <v>1.9E-2</v>
      </c>
      <c r="K246" s="15" t="s">
        <v>3</v>
      </c>
      <c r="L246" s="416" t="s">
        <v>169</v>
      </c>
    </row>
    <row r="247" spans="1:12" ht="75" x14ac:dyDescent="0.35">
      <c r="A247" s="553"/>
      <c r="H247" s="16" t="s">
        <v>36</v>
      </c>
      <c r="I247" s="16" t="s">
        <v>161</v>
      </c>
      <c r="J247" s="91">
        <v>1.6399999999999998E-2</v>
      </c>
      <c r="K247" s="15" t="s">
        <v>55</v>
      </c>
      <c r="L247" s="416" t="s">
        <v>170</v>
      </c>
    </row>
    <row r="248" spans="1:12" ht="90" x14ac:dyDescent="0.35">
      <c r="A248" s="553"/>
      <c r="H248" s="16" t="s">
        <v>36</v>
      </c>
      <c r="I248" s="16" t="s">
        <v>162</v>
      </c>
      <c r="J248" s="91">
        <v>8.5999999999999998E-4</v>
      </c>
      <c r="K248" s="15" t="s">
        <v>55</v>
      </c>
      <c r="L248" s="416" t="s">
        <v>171</v>
      </c>
    </row>
    <row r="249" spans="1:12" ht="90" x14ac:dyDescent="0.35">
      <c r="A249" s="553"/>
      <c r="H249" s="16" t="s">
        <v>36</v>
      </c>
      <c r="I249" s="16" t="s">
        <v>160</v>
      </c>
      <c r="J249" s="91">
        <v>8.3000000000000001E-4</v>
      </c>
      <c r="K249" s="15" t="s">
        <v>55</v>
      </c>
      <c r="L249" s="416" t="s">
        <v>171</v>
      </c>
    </row>
    <row r="250" spans="1:12" ht="28.8" x14ac:dyDescent="0.3">
      <c r="A250" s="553"/>
      <c r="H250" s="50" t="s">
        <v>164</v>
      </c>
      <c r="I250" s="25" t="s">
        <v>190</v>
      </c>
      <c r="J250" s="264">
        <f>SO2_liquid*0.002</f>
        <v>1.4187956078040406E-3</v>
      </c>
      <c r="L250" s="25" t="s">
        <v>249</v>
      </c>
    </row>
    <row r="251" spans="1:12" ht="57.6" x14ac:dyDescent="0.3">
      <c r="A251" s="553"/>
      <c r="H251" s="50" t="s">
        <v>165</v>
      </c>
      <c r="I251" s="25" t="s">
        <v>931</v>
      </c>
      <c r="J251" s="264">
        <f>(((1/process_efficiency-1)*SO2_liquid)-SO2_air)*(80.03/64.04)*0.1</f>
        <v>4.4886196299122284E-3</v>
      </c>
      <c r="L251" s="25" t="s">
        <v>899</v>
      </c>
    </row>
    <row r="252" spans="1:12" ht="57.6" x14ac:dyDescent="0.3">
      <c r="A252" s="553"/>
      <c r="H252" s="50" t="s">
        <v>165</v>
      </c>
      <c r="I252" s="28" t="s">
        <v>932</v>
      </c>
      <c r="J252" s="190">
        <f>(((1/process_efficiency-1)*NaOH_in_sodium_metabisulfite)*(22.99/39.99)*0.1)</f>
        <v>1.3403674933189309E-3</v>
      </c>
      <c r="L252" s="25" t="s">
        <v>900</v>
      </c>
    </row>
    <row r="253" spans="1:12" ht="15" x14ac:dyDescent="0.3">
      <c r="A253" s="553"/>
      <c r="H253" s="16" t="s">
        <v>164</v>
      </c>
      <c r="I253" s="16" t="s">
        <v>163</v>
      </c>
      <c r="J253" s="91">
        <v>1.9E-2</v>
      </c>
      <c r="K253" s="15" t="s">
        <v>3</v>
      </c>
      <c r="L253" s="315" t="s">
        <v>181</v>
      </c>
    </row>
    <row r="254" spans="1:12" ht="75" x14ac:dyDescent="0.35">
      <c r="A254" s="553"/>
      <c r="G254" s="15"/>
      <c r="H254" s="16" t="s">
        <v>164</v>
      </c>
      <c r="I254" s="16" t="s">
        <v>32</v>
      </c>
      <c r="J254" s="91">
        <v>1.4E-3</v>
      </c>
      <c r="K254" s="15" t="s">
        <v>55</v>
      </c>
      <c r="L254" s="416" t="s">
        <v>172</v>
      </c>
    </row>
    <row r="255" spans="1:12" ht="45" x14ac:dyDescent="0.35">
      <c r="A255" s="553"/>
      <c r="H255" s="16" t="s">
        <v>165</v>
      </c>
      <c r="I255" s="16" t="s">
        <v>32</v>
      </c>
      <c r="J255" s="91">
        <v>1.67E-2</v>
      </c>
      <c r="K255" s="15" t="s">
        <v>55</v>
      </c>
      <c r="L255" s="416" t="s">
        <v>173</v>
      </c>
    </row>
    <row r="256" spans="1:12" ht="90" x14ac:dyDescent="0.35">
      <c r="A256" s="558"/>
      <c r="B256" s="54"/>
      <c r="C256" s="88"/>
      <c r="D256" s="88"/>
      <c r="E256" s="54"/>
      <c r="F256" s="54"/>
      <c r="G256" s="54"/>
      <c r="H256" s="54" t="s">
        <v>307</v>
      </c>
      <c r="I256" s="54" t="s">
        <v>54</v>
      </c>
      <c r="J256" s="259">
        <v>2.7E-6</v>
      </c>
      <c r="K256" s="55" t="s">
        <v>55</v>
      </c>
      <c r="L256" s="420" t="s">
        <v>182</v>
      </c>
    </row>
    <row r="257" spans="1:12" x14ac:dyDescent="0.3">
      <c r="A257"/>
      <c r="B257" s="13"/>
      <c r="C257"/>
      <c r="D257"/>
      <c r="E257"/>
      <c r="F257"/>
      <c r="G257"/>
      <c r="H257"/>
      <c r="I257"/>
      <c r="J257" s="209"/>
      <c r="K257"/>
      <c r="L257" s="13"/>
    </row>
    <row r="258" spans="1:12" x14ac:dyDescent="0.3">
      <c r="A258"/>
      <c r="B258" s="13"/>
      <c r="C258"/>
      <c r="D258"/>
      <c r="E258"/>
      <c r="F258"/>
      <c r="G258"/>
      <c r="H258"/>
      <c r="I258"/>
      <c r="J258" s="209"/>
      <c r="K258"/>
      <c r="L258" s="13"/>
    </row>
    <row r="259" spans="1:12" x14ac:dyDescent="0.3">
      <c r="A259"/>
      <c r="B259" s="13"/>
      <c r="C259"/>
      <c r="D259"/>
      <c r="E259"/>
      <c r="F259"/>
      <c r="G259"/>
      <c r="H259"/>
      <c r="I259"/>
      <c r="J259" s="209"/>
      <c r="K259"/>
      <c r="L259" s="13"/>
    </row>
    <row r="260" spans="1:12" x14ac:dyDescent="0.3">
      <c r="A260"/>
      <c r="B260" s="13"/>
      <c r="C260"/>
      <c r="D260"/>
      <c r="E260"/>
      <c r="F260"/>
      <c r="G260"/>
      <c r="H260"/>
      <c r="I260"/>
      <c r="J260" s="209"/>
      <c r="K260"/>
      <c r="L260" s="13"/>
    </row>
    <row r="261" spans="1:12" x14ac:dyDescent="0.3">
      <c r="A261"/>
      <c r="B261" s="13"/>
      <c r="C261"/>
      <c r="D261"/>
      <c r="E261"/>
      <c r="F261"/>
      <c r="G261"/>
      <c r="H261"/>
      <c r="I261"/>
      <c r="J261" s="209"/>
      <c r="K261"/>
      <c r="L261" s="13"/>
    </row>
    <row r="262" spans="1:12" x14ac:dyDescent="0.3">
      <c r="A262"/>
      <c r="B262" s="13"/>
      <c r="C262"/>
      <c r="D262"/>
      <c r="E262"/>
      <c r="F262"/>
      <c r="G262"/>
      <c r="H262"/>
      <c r="I262"/>
      <c r="J262" s="209"/>
      <c r="K262"/>
      <c r="L262" s="13"/>
    </row>
    <row r="263" spans="1:12" x14ac:dyDescent="0.3">
      <c r="A263"/>
      <c r="B263" s="13"/>
      <c r="C263"/>
      <c r="D263"/>
      <c r="E263"/>
      <c r="F263"/>
      <c r="G263"/>
      <c r="H263"/>
      <c r="I263"/>
      <c r="J263" s="209"/>
      <c r="K263"/>
      <c r="L263" s="13"/>
    </row>
    <row r="264" spans="1:12" x14ac:dyDescent="0.3">
      <c r="A264"/>
      <c r="B264" s="13"/>
      <c r="C264"/>
      <c r="D264"/>
      <c r="E264"/>
      <c r="F264"/>
      <c r="G264"/>
      <c r="H264"/>
      <c r="I264"/>
      <c r="J264" s="209"/>
      <c r="K264"/>
      <c r="L264" s="13"/>
    </row>
    <row r="265" spans="1:12" x14ac:dyDescent="0.3">
      <c r="A265"/>
      <c r="B265" s="13"/>
      <c r="C265"/>
      <c r="D265"/>
      <c r="E265"/>
      <c r="F265"/>
      <c r="G265"/>
      <c r="H265"/>
      <c r="I265"/>
      <c r="J265" s="209"/>
      <c r="K265"/>
      <c r="L265" s="13"/>
    </row>
    <row r="266" spans="1:12" x14ac:dyDescent="0.3">
      <c r="A266"/>
      <c r="B266" s="13"/>
      <c r="C266"/>
      <c r="D266"/>
      <c r="E266"/>
      <c r="F266"/>
      <c r="G266"/>
      <c r="H266"/>
      <c r="I266"/>
      <c r="J266" s="209"/>
      <c r="K266"/>
      <c r="L266" s="13"/>
    </row>
    <row r="267" spans="1:12" x14ac:dyDescent="0.3">
      <c r="A267"/>
      <c r="B267" s="13"/>
      <c r="C267"/>
      <c r="D267"/>
      <c r="E267"/>
      <c r="F267"/>
      <c r="G267"/>
      <c r="H267"/>
      <c r="I267"/>
      <c r="J267" s="209"/>
      <c r="K267"/>
      <c r="L267" s="13"/>
    </row>
    <row r="268" spans="1:12" x14ac:dyDescent="0.3">
      <c r="A268"/>
      <c r="B268" s="13"/>
      <c r="C268"/>
      <c r="D268"/>
      <c r="E268"/>
      <c r="F268"/>
      <c r="G268"/>
      <c r="H268"/>
      <c r="I268"/>
      <c r="J268" s="209"/>
      <c r="K268"/>
      <c r="L268" s="13"/>
    </row>
    <row r="269" spans="1:12" x14ac:dyDescent="0.3">
      <c r="A269"/>
      <c r="B269" s="13"/>
      <c r="C269"/>
      <c r="D269"/>
      <c r="E269"/>
      <c r="F269"/>
      <c r="G269"/>
      <c r="H269"/>
      <c r="I269"/>
      <c r="J269" s="209"/>
      <c r="K269"/>
      <c r="L269" s="13"/>
    </row>
    <row r="270" spans="1:12" x14ac:dyDescent="0.3">
      <c r="A270"/>
      <c r="B270" s="13"/>
      <c r="C270"/>
      <c r="D270"/>
      <c r="E270"/>
      <c r="F270"/>
      <c r="G270"/>
      <c r="H270"/>
      <c r="I270"/>
      <c r="J270" s="209"/>
      <c r="K270"/>
      <c r="L270" s="13"/>
    </row>
    <row r="271" spans="1:12" x14ac:dyDescent="0.3">
      <c r="A271"/>
      <c r="B271" s="13"/>
      <c r="C271"/>
      <c r="D271"/>
      <c r="E271"/>
      <c r="F271"/>
      <c r="G271"/>
      <c r="H271"/>
      <c r="I271"/>
      <c r="J271" s="209"/>
      <c r="K271"/>
      <c r="L271" s="13"/>
    </row>
    <row r="272" spans="1:12" x14ac:dyDescent="0.3">
      <c r="A272"/>
      <c r="B272" s="13"/>
      <c r="C272"/>
      <c r="D272"/>
      <c r="E272"/>
      <c r="F272"/>
      <c r="G272"/>
      <c r="H272"/>
      <c r="I272"/>
      <c r="J272" s="209"/>
      <c r="K272"/>
      <c r="L272" s="13"/>
    </row>
    <row r="273" spans="1:12" x14ac:dyDescent="0.3">
      <c r="A273"/>
      <c r="B273" s="13"/>
      <c r="C273"/>
      <c r="D273"/>
      <c r="E273"/>
      <c r="F273"/>
      <c r="G273"/>
      <c r="H273"/>
      <c r="I273"/>
      <c r="J273" s="209"/>
      <c r="K273"/>
      <c r="L273" s="13"/>
    </row>
    <row r="274" spans="1:12" x14ac:dyDescent="0.3">
      <c r="A274" s="50"/>
    </row>
  </sheetData>
  <autoFilter ref="A3:L256" xr:uid="{00000000-0009-0000-0000-000003000000}"/>
  <mergeCells count="27">
    <mergeCell ref="A223:A232"/>
    <mergeCell ref="A233:A238"/>
    <mergeCell ref="A239:A256"/>
    <mergeCell ref="A209:A222"/>
    <mergeCell ref="A155:A161"/>
    <mergeCell ref="L169:L173"/>
    <mergeCell ref="A175:A182"/>
    <mergeCell ref="A162:A173"/>
    <mergeCell ref="A190:A196"/>
    <mergeCell ref="A197:A208"/>
    <mergeCell ref="G175:G177"/>
    <mergeCell ref="A183:A189"/>
    <mergeCell ref="L127:L130"/>
    <mergeCell ref="A145:A152"/>
    <mergeCell ref="G145:G148"/>
    <mergeCell ref="A4:A23"/>
    <mergeCell ref="A66:A77"/>
    <mergeCell ref="A79:A99"/>
    <mergeCell ref="A100:A106"/>
    <mergeCell ref="G14:G15"/>
    <mergeCell ref="A24:A31"/>
    <mergeCell ref="A32:A44"/>
    <mergeCell ref="A45:A60"/>
    <mergeCell ref="L53:L54"/>
    <mergeCell ref="A61:A65"/>
    <mergeCell ref="A131:A143"/>
    <mergeCell ref="A107:A126"/>
  </mergeCells>
  <hyperlinks>
    <hyperlink ref="L8" r:id="rId1" xr:uid="{00000000-0004-0000-0300-000000000000}"/>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2"/>
  <sheetViews>
    <sheetView workbookViewId="0">
      <pane ySplit="1" topLeftCell="A2" activePane="bottomLeft" state="frozen"/>
      <selection activeCell="D51" sqref="D51"/>
      <selection pane="bottomLeft" activeCell="E3" sqref="E3"/>
    </sheetView>
  </sheetViews>
  <sheetFormatPr defaultColWidth="8.77734375" defaultRowHeight="14.4" x14ac:dyDescent="0.3"/>
  <cols>
    <col min="1" max="1" width="63.21875" customWidth="1"/>
    <col min="2" max="2" width="8.77734375" customWidth="1"/>
    <col min="3" max="3" width="5" customWidth="1"/>
    <col min="4" max="4" width="11.6640625" customWidth="1"/>
    <col min="5" max="5" width="12.21875" bestFit="1" customWidth="1"/>
    <col min="6" max="6" width="78.21875" customWidth="1"/>
    <col min="7" max="7" width="12.77734375" bestFit="1" customWidth="1"/>
    <col min="8" max="8" width="13.77734375" bestFit="1" customWidth="1"/>
    <col min="9" max="9" width="19" bestFit="1" customWidth="1"/>
    <col min="10" max="11" width="13.77734375" bestFit="1" customWidth="1"/>
    <col min="12" max="12" width="17" bestFit="1" customWidth="1"/>
    <col min="13" max="13" width="22.21875" bestFit="1" customWidth="1"/>
    <col min="14" max="14" width="25" bestFit="1" customWidth="1"/>
    <col min="15" max="15" width="29.77734375" bestFit="1" customWidth="1"/>
  </cols>
  <sheetData>
    <row r="1" spans="1:6" x14ac:dyDescent="0.3">
      <c r="A1" s="1" t="s">
        <v>801</v>
      </c>
      <c r="B1" s="1"/>
      <c r="C1" s="1"/>
      <c r="D1" s="1" t="s">
        <v>0</v>
      </c>
      <c r="E1" s="1" t="s">
        <v>1</v>
      </c>
      <c r="F1" s="1" t="s">
        <v>2</v>
      </c>
    </row>
    <row r="2" spans="1:6" x14ac:dyDescent="0.3">
      <c r="A2" s="85" t="s">
        <v>546</v>
      </c>
      <c r="B2" s="85"/>
      <c r="C2" s="85"/>
      <c r="D2" s="85" t="s">
        <v>614</v>
      </c>
      <c r="E2" s="86">
        <v>0.19700000000000001</v>
      </c>
      <c r="F2" t="s">
        <v>803</v>
      </c>
    </row>
    <row r="3" spans="1:6" x14ac:dyDescent="0.3">
      <c r="A3" s="85" t="s">
        <v>545</v>
      </c>
      <c r="B3" s="85"/>
      <c r="C3" s="85"/>
      <c r="D3" s="85" t="s">
        <v>414</v>
      </c>
      <c r="E3" s="85">
        <v>0.14299999999999999</v>
      </c>
      <c r="F3" t="s">
        <v>804</v>
      </c>
    </row>
    <row r="4" spans="1:6" x14ac:dyDescent="0.3">
      <c r="A4" s="85" t="s">
        <v>533</v>
      </c>
      <c r="B4" s="85"/>
      <c r="C4" s="85"/>
      <c r="D4" s="85" t="s">
        <v>195</v>
      </c>
      <c r="E4" s="85">
        <v>0.16700000000000001</v>
      </c>
      <c r="F4" t="s">
        <v>40</v>
      </c>
    </row>
    <row r="5" spans="1:6" x14ac:dyDescent="0.3">
      <c r="A5" s="164" t="s">
        <v>549</v>
      </c>
      <c r="B5" s="164"/>
      <c r="C5" s="164"/>
      <c r="D5" s="164" t="s">
        <v>614</v>
      </c>
      <c r="E5" s="174">
        <f>B24/112.4</f>
        <v>0.20930476868327402</v>
      </c>
      <c r="F5" t="s">
        <v>802</v>
      </c>
    </row>
    <row r="6" spans="1:6" x14ac:dyDescent="0.3">
      <c r="A6" s="164" t="s">
        <v>550</v>
      </c>
      <c r="B6" s="164"/>
      <c r="C6" s="164"/>
      <c r="D6" s="164" t="s">
        <v>414</v>
      </c>
      <c r="E6" s="181">
        <v>0.1492</v>
      </c>
      <c r="F6" t="s">
        <v>621</v>
      </c>
    </row>
    <row r="7" spans="1:6" x14ac:dyDescent="0.3">
      <c r="A7" s="164" t="s">
        <v>534</v>
      </c>
      <c r="B7" s="164"/>
      <c r="C7" s="164"/>
      <c r="D7" s="164" t="s">
        <v>195</v>
      </c>
      <c r="E7" s="174">
        <f>B24/140</f>
        <v>0.16804182857142858</v>
      </c>
      <c r="F7" t="s">
        <v>552</v>
      </c>
    </row>
    <row r="8" spans="1:6" x14ac:dyDescent="0.3">
      <c r="A8" s="165" t="s">
        <v>547</v>
      </c>
      <c r="B8" s="165"/>
      <c r="C8" s="165"/>
      <c r="D8" s="165" t="s">
        <v>614</v>
      </c>
      <c r="E8" s="175">
        <f>22.74/101.513</f>
        <v>0.22401071783909449</v>
      </c>
      <c r="F8" t="s">
        <v>552</v>
      </c>
    </row>
    <row r="9" spans="1:6" x14ac:dyDescent="0.3">
      <c r="A9" s="165" t="s">
        <v>548</v>
      </c>
      <c r="B9" s="165"/>
      <c r="C9" s="165"/>
      <c r="D9" s="165" t="s">
        <v>414</v>
      </c>
      <c r="E9" s="182">
        <v>0.15859999999999999</v>
      </c>
      <c r="F9" t="s">
        <v>621</v>
      </c>
    </row>
    <row r="10" spans="1:6" x14ac:dyDescent="0.3">
      <c r="A10" s="165" t="s">
        <v>535</v>
      </c>
      <c r="B10" s="165"/>
      <c r="C10" s="165"/>
      <c r="D10" s="165" t="s">
        <v>195</v>
      </c>
      <c r="E10" s="175">
        <f>22.74/140</f>
        <v>0.16242857142857142</v>
      </c>
      <c r="F10" t="s">
        <v>552</v>
      </c>
    </row>
    <row r="11" spans="1:6" x14ac:dyDescent="0.3">
      <c r="A11" t="s">
        <v>175</v>
      </c>
      <c r="D11" s="3"/>
      <c r="E11">
        <v>0.95</v>
      </c>
      <c r="F11" t="s">
        <v>805</v>
      </c>
    </row>
    <row r="12" spans="1:6" x14ac:dyDescent="0.3">
      <c r="A12" t="s">
        <v>260</v>
      </c>
      <c r="D12" s="3"/>
      <c r="E12">
        <v>0.27777800000000002</v>
      </c>
    </row>
    <row r="13" spans="1:6" x14ac:dyDescent="0.3">
      <c r="A13" t="s">
        <v>262</v>
      </c>
      <c r="D13" s="3"/>
      <c r="E13">
        <v>1055.056</v>
      </c>
    </row>
    <row r="14" spans="1:6" x14ac:dyDescent="0.3">
      <c r="A14" t="s">
        <v>261</v>
      </c>
      <c r="D14" s="3"/>
      <c r="E14">
        <v>3.7850000000000001</v>
      </c>
    </row>
    <row r="18" spans="1:3" x14ac:dyDescent="0.3">
      <c r="A18" t="s">
        <v>800</v>
      </c>
    </row>
    <row r="19" spans="1:3" x14ac:dyDescent="0.3">
      <c r="A19" s="85" t="s">
        <v>541</v>
      </c>
    </row>
    <row r="20" spans="1:3" x14ac:dyDescent="0.3">
      <c r="A20" s="85" t="s">
        <v>542</v>
      </c>
    </row>
    <row r="21" spans="1:3" x14ac:dyDescent="0.3">
      <c r="A21" s="85" t="s">
        <v>543</v>
      </c>
    </row>
    <row r="22" spans="1:3" x14ac:dyDescent="0.3">
      <c r="A22" s="85" t="s">
        <v>544</v>
      </c>
    </row>
    <row r="23" spans="1:3" x14ac:dyDescent="0.3">
      <c r="A23" s="178" t="s">
        <v>581</v>
      </c>
      <c r="B23" s="7"/>
    </row>
    <row r="24" spans="1:3" x14ac:dyDescent="0.3">
      <c r="A24" s="164" t="s">
        <v>586</v>
      </c>
      <c r="B24" s="180">
        <f>157.68*0.1492</f>
        <v>23.525856000000001</v>
      </c>
    </row>
    <row r="25" spans="1:3" x14ac:dyDescent="0.3">
      <c r="A25" s="164" t="s">
        <v>582</v>
      </c>
      <c r="B25" s="80">
        <f>B24/140</f>
        <v>0.16804182857142858</v>
      </c>
    </row>
    <row r="26" spans="1:3" x14ac:dyDescent="0.3">
      <c r="A26" s="164" t="s">
        <v>583</v>
      </c>
      <c r="B26" s="168">
        <f>157.68*0.713</f>
        <v>112.42583999999999</v>
      </c>
    </row>
    <row r="27" spans="1:3" x14ac:dyDescent="0.3">
      <c r="A27" s="164" t="s">
        <v>544</v>
      </c>
      <c r="B27" s="168">
        <f>E7/3.7*1000</f>
        <v>45.416710424710423</v>
      </c>
      <c r="C27" t="s">
        <v>551</v>
      </c>
    </row>
    <row r="28" spans="1:3" x14ac:dyDescent="0.3">
      <c r="A28" s="179" t="s">
        <v>584</v>
      </c>
      <c r="B28" s="81"/>
    </row>
    <row r="29" spans="1:3" x14ac:dyDescent="0.3">
      <c r="A29" s="165" t="s">
        <v>585</v>
      </c>
      <c r="B29" s="81">
        <f>143.38*0.1586</f>
        <v>22.740067999999997</v>
      </c>
    </row>
    <row r="30" spans="1:3" x14ac:dyDescent="0.3">
      <c r="A30" s="179" t="s">
        <v>622</v>
      </c>
      <c r="B30" s="215">
        <f>22.74/140</f>
        <v>0.16242857142857142</v>
      </c>
      <c r="C30" s="209"/>
    </row>
    <row r="31" spans="1:3" x14ac:dyDescent="0.3">
      <c r="A31" s="165" t="s">
        <v>613</v>
      </c>
      <c r="B31">
        <f>143.38*0.708</f>
        <v>101.51303999999999</v>
      </c>
    </row>
    <row r="32" spans="1:3" x14ac:dyDescent="0.3">
      <c r="A32" s="165" t="s">
        <v>544</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1"/>
  <sheetViews>
    <sheetView showGridLines="0" workbookViewId="0">
      <selection activeCell="B10" sqref="B10"/>
    </sheetView>
  </sheetViews>
  <sheetFormatPr defaultColWidth="8.77734375" defaultRowHeight="14.4" x14ac:dyDescent="0.3"/>
  <cols>
    <col min="1" max="1" width="31.77734375" style="17" customWidth="1"/>
    <col min="2" max="2" width="105" style="17" customWidth="1"/>
    <col min="3" max="3" width="70.21875" style="17" customWidth="1"/>
    <col min="4" max="16384" width="8.77734375" style="104"/>
  </cols>
  <sheetData>
    <row r="1" spans="1:3" ht="22.05" customHeight="1" x14ac:dyDescent="0.3">
      <c r="A1" s="132" t="s">
        <v>105</v>
      </c>
      <c r="B1" s="132" t="s">
        <v>106</v>
      </c>
      <c r="C1" s="132" t="s">
        <v>114</v>
      </c>
    </row>
    <row r="2" spans="1:3" ht="28.8" x14ac:dyDescent="0.3">
      <c r="A2" s="17" t="s">
        <v>140</v>
      </c>
      <c r="B2" s="17" t="s">
        <v>1108</v>
      </c>
    </row>
    <row r="3" spans="1:3" ht="28.8" x14ac:dyDescent="0.3">
      <c r="A3" s="17" t="s">
        <v>1002</v>
      </c>
      <c r="B3" s="17" t="s">
        <v>1109</v>
      </c>
    </row>
    <row r="4" spans="1:3" ht="28.8" x14ac:dyDescent="0.3">
      <c r="A4" s="17" t="s">
        <v>312</v>
      </c>
      <c r="B4" s="17" t="s">
        <v>1116</v>
      </c>
      <c r="C4" s="542" t="s">
        <v>1115</v>
      </c>
    </row>
    <row r="5" spans="1:3" ht="28.8" x14ac:dyDescent="0.3">
      <c r="A5" s="17" t="s">
        <v>242</v>
      </c>
      <c r="B5" s="17" t="s">
        <v>1117</v>
      </c>
      <c r="C5" s="542" t="s">
        <v>1118</v>
      </c>
    </row>
    <row r="6" spans="1:3" ht="28.8" x14ac:dyDescent="0.3">
      <c r="A6" s="17" t="s">
        <v>568</v>
      </c>
      <c r="B6" s="17" t="s">
        <v>1119</v>
      </c>
      <c r="C6" s="542" t="s">
        <v>1114</v>
      </c>
    </row>
    <row r="7" spans="1:3" ht="43.2" x14ac:dyDescent="0.3">
      <c r="A7" s="17" t="s">
        <v>332</v>
      </c>
      <c r="B7" s="200" t="s">
        <v>1110</v>
      </c>
    </row>
    <row r="8" spans="1:3" ht="43.2" x14ac:dyDescent="0.3">
      <c r="A8" s="17" t="s">
        <v>104</v>
      </c>
      <c r="B8" s="17" t="s">
        <v>1111</v>
      </c>
      <c r="C8" s="542" t="s">
        <v>193</v>
      </c>
    </row>
    <row r="9" spans="1:3" ht="43.2" x14ac:dyDescent="0.3">
      <c r="A9" s="17" t="s">
        <v>992</v>
      </c>
      <c r="B9" s="17" t="s">
        <v>1112</v>
      </c>
    </row>
    <row r="10" spans="1:3" ht="28.95" customHeight="1" x14ac:dyDescent="0.3">
      <c r="A10" s="17" t="s">
        <v>1159</v>
      </c>
      <c r="B10" s="17" t="s">
        <v>1160</v>
      </c>
      <c r="C10" s="542" t="s">
        <v>1161</v>
      </c>
    </row>
    <row r="11" spans="1:3" ht="28.8" x14ac:dyDescent="0.3">
      <c r="A11" s="17" t="s">
        <v>101</v>
      </c>
      <c r="B11" s="17" t="s">
        <v>1101</v>
      </c>
    </row>
    <row r="12" spans="1:3" ht="28.8" x14ac:dyDescent="0.3">
      <c r="A12" s="17" t="s">
        <v>314</v>
      </c>
      <c r="B12" s="17" t="s">
        <v>1120</v>
      </c>
      <c r="C12" s="542" t="s">
        <v>1114</v>
      </c>
    </row>
    <row r="13" spans="1:3" ht="28.8" x14ac:dyDescent="0.3">
      <c r="A13" s="17" t="s">
        <v>200</v>
      </c>
      <c r="B13" s="17" t="s">
        <v>1113</v>
      </c>
      <c r="C13" s="542" t="s">
        <v>1114</v>
      </c>
    </row>
    <row r="14" spans="1:3" ht="28.8" x14ac:dyDescent="0.3">
      <c r="A14" s="17" t="s">
        <v>102</v>
      </c>
      <c r="B14" s="17" t="s">
        <v>313</v>
      </c>
      <c r="C14" s="542"/>
    </row>
    <row r="15" spans="1:3" x14ac:dyDescent="0.3">
      <c r="A15" s="17" t="s">
        <v>178</v>
      </c>
      <c r="B15" s="17" t="s">
        <v>1122</v>
      </c>
      <c r="C15" s="542" t="s">
        <v>1121</v>
      </c>
    </row>
    <row r="16" spans="1:3" ht="28.8" x14ac:dyDescent="0.3">
      <c r="A16" s="17" t="s">
        <v>103</v>
      </c>
      <c r="B16" s="17" t="s">
        <v>1123</v>
      </c>
      <c r="C16" s="542" t="s">
        <v>1114</v>
      </c>
    </row>
    <row r="17" spans="1:3" ht="28.8" x14ac:dyDescent="0.3">
      <c r="A17" s="17" t="s">
        <v>322</v>
      </c>
      <c r="B17" s="17" t="s">
        <v>1124</v>
      </c>
    </row>
    <row r="18" spans="1:3" x14ac:dyDescent="0.3">
      <c r="A18" s="17" t="s">
        <v>1003</v>
      </c>
      <c r="B18" s="17" t="s">
        <v>1125</v>
      </c>
    </row>
    <row r="19" spans="1:3" ht="28.8" x14ac:dyDescent="0.3">
      <c r="A19" s="17" t="s">
        <v>247</v>
      </c>
      <c r="B19" s="17" t="s">
        <v>1127</v>
      </c>
      <c r="C19" s="542" t="s">
        <v>1126</v>
      </c>
    </row>
    <row r="20" spans="1:3" x14ac:dyDescent="0.3">
      <c r="A20" s="17" t="s">
        <v>317</v>
      </c>
      <c r="B20" s="17" t="s">
        <v>1129</v>
      </c>
      <c r="C20" s="542" t="s">
        <v>1128</v>
      </c>
    </row>
    <row r="21" spans="1:3" ht="28.8" x14ac:dyDescent="0.3">
      <c r="A21" s="17" t="s">
        <v>981</v>
      </c>
      <c r="B21" s="17" t="s">
        <v>1130</v>
      </c>
    </row>
    <row r="22" spans="1:3" ht="43.2" x14ac:dyDescent="0.3">
      <c r="A22" s="17" t="s">
        <v>118</v>
      </c>
      <c r="B22" s="17" t="s">
        <v>1098</v>
      </c>
    </row>
    <row r="23" spans="1:3" ht="43.2" x14ac:dyDescent="0.3">
      <c r="A23" s="17" t="s">
        <v>49</v>
      </c>
      <c r="B23" s="17" t="s">
        <v>1102</v>
      </c>
    </row>
    <row r="24" spans="1:3" ht="28.8" x14ac:dyDescent="0.3">
      <c r="A24" s="17" t="s">
        <v>217</v>
      </c>
      <c r="B24" s="17" t="s">
        <v>1131</v>
      </c>
    </row>
    <row r="25" spans="1:3" ht="28.8" x14ac:dyDescent="0.3">
      <c r="A25" s="17" t="s">
        <v>331</v>
      </c>
      <c r="B25" s="200" t="s">
        <v>1132</v>
      </c>
    </row>
    <row r="26" spans="1:3" ht="28.8" x14ac:dyDescent="0.3">
      <c r="A26" s="17" t="s">
        <v>330</v>
      </c>
      <c r="B26" s="200" t="s">
        <v>1133</v>
      </c>
    </row>
    <row r="27" spans="1:3" ht="28.8" x14ac:dyDescent="0.3">
      <c r="A27" s="17" t="s">
        <v>333</v>
      </c>
      <c r="B27" s="200" t="s">
        <v>1134</v>
      </c>
    </row>
    <row r="28" spans="1:3" ht="43.2" x14ac:dyDescent="0.3">
      <c r="A28" s="17" t="s">
        <v>230</v>
      </c>
      <c r="B28" s="17" t="s">
        <v>1107</v>
      </c>
    </row>
    <row r="29" spans="1:3" ht="43.2" x14ac:dyDescent="0.3">
      <c r="A29" s="17" t="s">
        <v>149</v>
      </c>
      <c r="B29" s="17" t="s">
        <v>1135</v>
      </c>
    </row>
    <row r="30" spans="1:3" ht="100.8" x14ac:dyDescent="0.3">
      <c r="A30" s="17" t="s">
        <v>113</v>
      </c>
      <c r="B30" s="17" t="s">
        <v>1136</v>
      </c>
      <c r="C30" s="17" t="s">
        <v>325</v>
      </c>
    </row>
    <row r="31" spans="1:3" ht="28.8" x14ac:dyDescent="0.3">
      <c r="A31" s="17" t="s">
        <v>139</v>
      </c>
      <c r="B31" s="17" t="s">
        <v>806</v>
      </c>
    </row>
    <row r="32" spans="1:3" ht="28.8" x14ac:dyDescent="0.3">
      <c r="A32" s="17" t="s">
        <v>320</v>
      </c>
      <c r="B32" s="17" t="s">
        <v>1137</v>
      </c>
    </row>
    <row r="33" spans="1:3" ht="86.4" x14ac:dyDescent="0.3">
      <c r="A33" s="17" t="s">
        <v>188</v>
      </c>
      <c r="B33" s="17" t="s">
        <v>1138</v>
      </c>
      <c r="C33" s="542" t="s">
        <v>189</v>
      </c>
    </row>
    <row r="34" spans="1:3" ht="43.2" x14ac:dyDescent="0.3">
      <c r="A34" s="17" t="s">
        <v>375</v>
      </c>
      <c r="B34" s="17" t="s">
        <v>1139</v>
      </c>
      <c r="C34" s="542" t="s">
        <v>323</v>
      </c>
    </row>
    <row r="35" spans="1:3" ht="43.2" x14ac:dyDescent="0.3">
      <c r="A35" s="17" t="s">
        <v>377</v>
      </c>
      <c r="B35" s="17" t="s">
        <v>1140</v>
      </c>
    </row>
    <row r="36" spans="1:3" ht="28.8" x14ac:dyDescent="0.3">
      <c r="A36" s="17" t="s">
        <v>281</v>
      </c>
      <c r="B36" s="17" t="s">
        <v>1141</v>
      </c>
    </row>
    <row r="37" spans="1:3" ht="28.8" x14ac:dyDescent="0.3">
      <c r="A37" s="17" t="s">
        <v>1142</v>
      </c>
      <c r="B37" s="17" t="s">
        <v>1143</v>
      </c>
      <c r="C37" s="542" t="s">
        <v>280</v>
      </c>
    </row>
    <row r="38" spans="1:3" ht="28.8" x14ac:dyDescent="0.3">
      <c r="A38" s="17" t="s">
        <v>117</v>
      </c>
      <c r="B38" s="17" t="s">
        <v>1144</v>
      </c>
      <c r="C38" s="542" t="s">
        <v>119</v>
      </c>
    </row>
    <row r="39" spans="1:3" ht="28.8" x14ac:dyDescent="0.3">
      <c r="A39" s="17" t="s">
        <v>994</v>
      </c>
      <c r="B39" s="17" t="s">
        <v>993</v>
      </c>
    </row>
    <row r="40" spans="1:3" ht="28.8" x14ac:dyDescent="0.3">
      <c r="A40" s="17" t="s">
        <v>305</v>
      </c>
      <c r="B40" s="17" t="s">
        <v>306</v>
      </c>
    </row>
    <row r="41" spans="1:3" x14ac:dyDescent="0.3">
      <c r="A41" s="17" t="s">
        <v>177</v>
      </c>
      <c r="B41" s="17" t="s">
        <v>176</v>
      </c>
    </row>
    <row r="42" spans="1:3" ht="43.2" x14ac:dyDescent="0.3">
      <c r="A42" s="17" t="s">
        <v>1145</v>
      </c>
      <c r="B42" s="17" t="s">
        <v>1146</v>
      </c>
      <c r="C42" s="542" t="s">
        <v>50</v>
      </c>
    </row>
    <row r="43" spans="1:3" ht="129.6" x14ac:dyDescent="0.3">
      <c r="A43" s="17" t="s">
        <v>216</v>
      </c>
      <c r="B43" s="17" t="s">
        <v>1147</v>
      </c>
      <c r="C43" s="17" t="s">
        <v>324</v>
      </c>
    </row>
    <row r="44" spans="1:3" ht="43.2" x14ac:dyDescent="0.3">
      <c r="A44" s="17" t="s">
        <v>611</v>
      </c>
      <c r="B44" s="17" t="s">
        <v>1100</v>
      </c>
      <c r="C44" s="542" t="s">
        <v>610</v>
      </c>
    </row>
    <row r="45" spans="1:3" ht="43.2" x14ac:dyDescent="0.3">
      <c r="A45" s="17" t="s">
        <v>199</v>
      </c>
      <c r="B45" s="17" t="s">
        <v>1148</v>
      </c>
      <c r="C45" s="542" t="s">
        <v>1149</v>
      </c>
    </row>
    <row r="46" spans="1:3" x14ac:dyDescent="0.3">
      <c r="A46" s="17" t="s">
        <v>277</v>
      </c>
      <c r="B46" s="17" t="s">
        <v>1150</v>
      </c>
      <c r="C46" s="542" t="s">
        <v>1151</v>
      </c>
    </row>
    <row r="47" spans="1:3" ht="28.8" x14ac:dyDescent="0.3">
      <c r="A47" s="17" t="s">
        <v>278</v>
      </c>
      <c r="B47" s="17" t="s">
        <v>1152</v>
      </c>
      <c r="C47" s="542" t="s">
        <v>279</v>
      </c>
    </row>
    <row r="50" spans="1:2" ht="28.8" x14ac:dyDescent="0.3">
      <c r="A50" s="133" t="s">
        <v>382</v>
      </c>
      <c r="B50" s="543" t="s">
        <v>1153</v>
      </c>
    </row>
    <row r="51" spans="1:2" ht="28.8" x14ac:dyDescent="0.3">
      <c r="A51" s="133" t="s">
        <v>384</v>
      </c>
      <c r="B51" s="133" t="s">
        <v>383</v>
      </c>
    </row>
  </sheetData>
  <autoFilter ref="A1:C1" xr:uid="{00000000-0009-0000-0000-000005000000}">
    <sortState xmlns:xlrd2="http://schemas.microsoft.com/office/spreadsheetml/2017/richdata2" ref="A2:C39">
      <sortCondition ref="A1"/>
    </sortState>
  </autoFilter>
  <hyperlinks>
    <hyperlink ref="C13" r:id="rId1" xr:uid="{00000000-0004-0000-0500-000000000000}"/>
    <hyperlink ref="C12" r:id="rId2" xr:uid="{00000000-0004-0000-0500-000001000000}"/>
    <hyperlink ref="C16" r:id="rId3" xr:uid="{00000000-0004-0000-0500-000002000000}"/>
    <hyperlink ref="C6" r:id="rId4" xr:uid="{00000000-0004-0000-0500-000003000000}"/>
    <hyperlink ref="C46" r:id="rId5" xr:uid="{00000000-0004-0000-0500-000004000000}"/>
    <hyperlink ref="C4" r:id="rId6" xr:uid="{00000000-0004-0000-0500-000005000000}"/>
    <hyperlink ref="C5" r:id="rId7" xr:uid="{00000000-0004-0000-0500-000006000000}"/>
    <hyperlink ref="C8" r:id="rId8" xr:uid="{00000000-0004-0000-0500-000007000000}"/>
    <hyperlink ref="C15" r:id="rId9" xr:uid="{00000000-0004-0000-0500-000008000000}"/>
    <hyperlink ref="C19" r:id="rId10" xr:uid="{00000000-0004-0000-0500-000009000000}"/>
    <hyperlink ref="C20" r:id="rId11" xr:uid="{00000000-0004-0000-0500-00000A000000}"/>
    <hyperlink ref="C33" display="https://books.google.ch/books?hl=it&amp;lr=&amp;id=zMqFDwAAQBAJ&amp;oi=fnd&amp;pg=PA129&amp;dq=LIFE+CYCLE+ASSESSMENT+OF+SILICON+ALLOY-BASED+LITHIUM-ION+BATTERY+FOR+ELECTRIC+VEHICLES&amp;ots=ohjnwp9zHk&amp;sig=Nm4YKt0GGKukpXo0eF3rO990oGw#v=onepage&amp;q=LIFE%20CYCLE%20ASSESSMENT%20OF%20S" xr:uid="{00000000-0004-0000-0500-00000B000000}"/>
    <hyperlink ref="C34" r:id="rId12" xr:uid="{00000000-0004-0000-0500-00000C000000}"/>
    <hyperlink ref="C37" r:id="rId13" xr:uid="{00000000-0004-0000-0500-00000D000000}"/>
    <hyperlink ref="C38" r:id="rId14" xr:uid="{00000000-0004-0000-0500-00000E000000}"/>
    <hyperlink ref="C42" r:id="rId15" xr:uid="{00000000-0004-0000-0500-00000F000000}"/>
    <hyperlink ref="C44" r:id="rId16" xr:uid="{00000000-0004-0000-0500-000010000000}"/>
    <hyperlink ref="C45" r:id="rId17" xr:uid="{00000000-0004-0000-0500-000011000000}"/>
    <hyperlink ref="C47" r:id="rId18" xr:uid="{00000000-0004-0000-0500-000012000000}"/>
    <hyperlink ref="C10" r:id="rId19" xr:uid="{00000000-0004-0000-0500-000013000000}"/>
  </hyperlinks>
  <pageMargins left="0.7" right="0.7" top="0.75" bottom="0.75" header="0.3" footer="0.3"/>
  <pageSetup paperSize="9" orientation="portrait" r:id="rId2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6"/>
  <sheetViews>
    <sheetView workbookViewId="0">
      <selection activeCell="G4" sqref="G4"/>
    </sheetView>
  </sheetViews>
  <sheetFormatPr defaultRowHeight="14.4" x14ac:dyDescent="0.3"/>
  <cols>
    <col min="12" max="12" width="7.88671875" customWidth="1"/>
    <col min="13" max="14" width="12" customWidth="1"/>
  </cols>
  <sheetData>
    <row r="1" spans="1:16" x14ac:dyDescent="0.3">
      <c r="A1" t="s">
        <v>677</v>
      </c>
      <c r="B1" t="s">
        <v>806</v>
      </c>
    </row>
    <row r="4" spans="1:16" ht="18.45" customHeight="1" x14ac:dyDescent="0.3">
      <c r="G4" t="s">
        <v>295</v>
      </c>
      <c r="K4" t="s">
        <v>302</v>
      </c>
      <c r="M4" s="176" t="s">
        <v>296</v>
      </c>
      <c r="O4" s="8" t="s">
        <v>293</v>
      </c>
    </row>
    <row r="5" spans="1:16" x14ac:dyDescent="0.3">
      <c r="C5" s="574" t="s">
        <v>86</v>
      </c>
      <c r="D5" t="s">
        <v>282</v>
      </c>
      <c r="G5">
        <v>9.5000000000000001E-2</v>
      </c>
      <c r="H5" t="s">
        <v>290</v>
      </c>
      <c r="K5" s="80">
        <f>G5/$O$5</f>
        <v>0.64189189189189189</v>
      </c>
      <c r="M5" s="177">
        <f>K5*specific_energy_NMC111</f>
        <v>0.1264527027027027</v>
      </c>
      <c r="O5">
        <f>40*3.7/1000</f>
        <v>0.14799999999999999</v>
      </c>
      <c r="P5" t="s">
        <v>294</v>
      </c>
    </row>
    <row r="6" spans="1:16" x14ac:dyDescent="0.3">
      <c r="C6" s="574"/>
      <c r="D6" s="84" t="s">
        <v>283</v>
      </c>
      <c r="E6" s="84"/>
      <c r="F6" s="84"/>
      <c r="G6" s="79">
        <v>0.88</v>
      </c>
      <c r="H6" t="s">
        <v>289</v>
      </c>
      <c r="K6" s="79">
        <f>G6/$O$5</f>
        <v>5.9459459459459465</v>
      </c>
      <c r="L6" s="87">
        <f>(K6-K10)/K6</f>
        <v>0.51022727272727275</v>
      </c>
      <c r="M6" s="177">
        <f t="shared" ref="M6:M13" si="0">K6*specific_energy_NMC111</f>
        <v>1.1713513513513516</v>
      </c>
    </row>
    <row r="7" spans="1:16" x14ac:dyDescent="0.3">
      <c r="C7" s="574"/>
      <c r="D7" t="s">
        <v>284</v>
      </c>
      <c r="G7">
        <v>2.1999999999999999E-2</v>
      </c>
      <c r="H7" t="s">
        <v>290</v>
      </c>
      <c r="K7" s="80">
        <f t="shared" ref="K7:K12" si="1">G7/$O$5</f>
        <v>0.14864864864864866</v>
      </c>
      <c r="L7" s="81"/>
      <c r="M7" s="177">
        <f t="shared" si="0"/>
        <v>2.9283783783783785E-2</v>
      </c>
    </row>
    <row r="8" spans="1:16" x14ac:dyDescent="0.3">
      <c r="C8" s="575"/>
      <c r="D8" s="4" t="s">
        <v>285</v>
      </c>
      <c r="E8" s="4"/>
      <c r="F8" s="4"/>
      <c r="G8" s="4">
        <v>0.214</v>
      </c>
      <c r="H8" s="4" t="s">
        <v>290</v>
      </c>
      <c r="I8" s="4"/>
      <c r="J8" s="4"/>
      <c r="K8" s="80">
        <f t="shared" si="1"/>
        <v>1.4459459459459461</v>
      </c>
      <c r="L8" s="81"/>
      <c r="M8" s="177">
        <f t="shared" si="0"/>
        <v>0.28485135135135137</v>
      </c>
    </row>
    <row r="9" spans="1:16" x14ac:dyDescent="0.3">
      <c r="C9" s="574" t="s">
        <v>8</v>
      </c>
      <c r="D9" t="s">
        <v>282</v>
      </c>
      <c r="G9">
        <v>9.5000000000000001E-2</v>
      </c>
      <c r="H9" t="s">
        <v>290</v>
      </c>
      <c r="K9" s="80">
        <f t="shared" si="1"/>
        <v>0.64189189189189189</v>
      </c>
      <c r="L9" s="81"/>
      <c r="M9" s="177">
        <f t="shared" si="0"/>
        <v>0.1264527027027027</v>
      </c>
    </row>
    <row r="10" spans="1:16" x14ac:dyDescent="0.3">
      <c r="C10" s="574"/>
      <c r="D10" s="85" t="s">
        <v>286</v>
      </c>
      <c r="E10" s="85"/>
      <c r="F10" s="85"/>
      <c r="G10" s="85">
        <v>0.43099999999999999</v>
      </c>
      <c r="H10" t="s">
        <v>290</v>
      </c>
      <c r="K10" s="86">
        <f t="shared" si="1"/>
        <v>2.9121621621621623</v>
      </c>
      <c r="L10" s="83"/>
      <c r="M10" s="177">
        <f t="shared" si="0"/>
        <v>0.57369594594594597</v>
      </c>
    </row>
    <row r="11" spans="1:16" x14ac:dyDescent="0.3">
      <c r="C11" s="574"/>
      <c r="D11" t="s">
        <v>284</v>
      </c>
      <c r="G11">
        <v>2.1999999999999999E-2</v>
      </c>
      <c r="H11" t="s">
        <v>290</v>
      </c>
      <c r="K11" s="80">
        <f t="shared" si="1"/>
        <v>0.14864864864864866</v>
      </c>
      <c r="M11" s="177">
        <f t="shared" si="0"/>
        <v>2.9283783783783785E-2</v>
      </c>
    </row>
    <row r="12" spans="1:16" x14ac:dyDescent="0.3">
      <c r="C12" s="574"/>
      <c r="D12" t="s">
        <v>285</v>
      </c>
      <c r="G12">
        <v>0.214</v>
      </c>
      <c r="H12" t="s">
        <v>290</v>
      </c>
      <c r="K12" s="80">
        <f t="shared" si="1"/>
        <v>1.4459459459459461</v>
      </c>
      <c r="M12" s="177">
        <f t="shared" si="0"/>
        <v>0.28485135135135137</v>
      </c>
    </row>
    <row r="13" spans="1:16" x14ac:dyDescent="0.3">
      <c r="C13" s="557" t="s">
        <v>292</v>
      </c>
      <c r="D13" s="6" t="s">
        <v>287</v>
      </c>
      <c r="E13" s="6"/>
      <c r="F13" s="6"/>
      <c r="G13" s="6">
        <f>0.164+0.164+0.429+0.429+0.111</f>
        <v>1.2969999999999999</v>
      </c>
      <c r="H13" s="6" t="s">
        <v>291</v>
      </c>
      <c r="I13" s="6"/>
      <c r="J13" s="6"/>
      <c r="K13" s="80">
        <f>(G13+G14+G15)/O5</f>
        <v>10.358108108108109</v>
      </c>
      <c r="M13" s="177">
        <f t="shared" si="0"/>
        <v>2.0405472972972976</v>
      </c>
    </row>
    <row r="14" spans="1:16" x14ac:dyDescent="0.3">
      <c r="C14" s="550"/>
      <c r="D14" t="s">
        <v>288</v>
      </c>
      <c r="G14">
        <v>0.20499999999999999</v>
      </c>
      <c r="H14" t="s">
        <v>290</v>
      </c>
    </row>
    <row r="15" spans="1:16" x14ac:dyDescent="0.3">
      <c r="C15" s="550"/>
      <c r="D15" t="s">
        <v>301</v>
      </c>
      <c r="G15">
        <v>3.1E-2</v>
      </c>
      <c r="H15" t="s">
        <v>290</v>
      </c>
    </row>
    <row r="16" spans="1:16" x14ac:dyDescent="0.3">
      <c r="G16">
        <f>SUM(G5:G15)</f>
        <v>3.5060000000000002</v>
      </c>
      <c r="H16" t="s">
        <v>195</v>
      </c>
    </row>
  </sheetData>
  <mergeCells count="3">
    <mergeCell ref="C5:C8"/>
    <mergeCell ref="C9:C12"/>
    <mergeCell ref="C13:C1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14999847407452621"/>
  </sheetPr>
  <dimension ref="A1:V79"/>
  <sheetViews>
    <sheetView topLeftCell="B2" zoomScale="80" zoomScaleNormal="80" workbookViewId="0">
      <pane xSplit="2" ySplit="1" topLeftCell="D3" activePane="bottomRight" state="frozen"/>
      <selection activeCell="B35" sqref="B35"/>
      <selection pane="topRight" activeCell="B35" sqref="B35"/>
      <selection pane="bottomLeft" activeCell="B35" sqref="B35"/>
      <selection pane="bottomRight" activeCell="D58" sqref="D58"/>
    </sheetView>
  </sheetViews>
  <sheetFormatPr defaultRowHeight="14.4" x14ac:dyDescent="0.3"/>
  <cols>
    <col min="1" max="1" width="12.109375" bestFit="1" customWidth="1"/>
    <col min="2" max="2" width="25.21875" bestFit="1" customWidth="1"/>
    <col min="3" max="3" width="47.33203125" bestFit="1" customWidth="1"/>
    <col min="4" max="4" width="19.6640625" style="159" bestFit="1" customWidth="1"/>
    <col min="5" max="5" width="18.77734375" bestFit="1" customWidth="1"/>
    <col min="6" max="6" width="18.5546875" bestFit="1" customWidth="1"/>
    <col min="7" max="7" width="17.77734375" bestFit="1" customWidth="1"/>
    <col min="8" max="8" width="18.77734375" customWidth="1"/>
    <col min="10" max="10" width="27.88671875" customWidth="1"/>
    <col min="11" max="11" width="14" customWidth="1"/>
  </cols>
  <sheetData>
    <row r="1" spans="1:12" x14ac:dyDescent="0.3">
      <c r="D1" s="160" t="s">
        <v>529</v>
      </c>
    </row>
    <row r="2" spans="1:12" ht="106.95" customHeight="1" thickBot="1" x14ac:dyDescent="0.35">
      <c r="B2" s="371" t="s">
        <v>822</v>
      </c>
      <c r="C2" s="371" t="s">
        <v>823</v>
      </c>
      <c r="D2" s="367" t="s">
        <v>816</v>
      </c>
      <c r="E2" s="246" t="s">
        <v>940</v>
      </c>
      <c r="F2" s="246" t="s">
        <v>941</v>
      </c>
      <c r="G2" s="367" t="s">
        <v>814</v>
      </c>
      <c r="H2" s="367" t="s">
        <v>396</v>
      </c>
    </row>
    <row r="3" spans="1:12" x14ac:dyDescent="0.3">
      <c r="A3" s="2" t="s">
        <v>521</v>
      </c>
      <c r="B3" t="s">
        <v>7</v>
      </c>
      <c r="C3" t="s">
        <v>48</v>
      </c>
      <c r="D3" s="10">
        <v>1</v>
      </c>
      <c r="E3" s="421">
        <v>1</v>
      </c>
      <c r="F3" s="421">
        <v>1</v>
      </c>
      <c r="G3" s="421">
        <v>1</v>
      </c>
      <c r="H3" s="209" t="s">
        <v>520</v>
      </c>
      <c r="J3" s="151" t="s">
        <v>524</v>
      </c>
      <c r="K3" s="152">
        <v>58.93</v>
      </c>
      <c r="L3" s="153" t="s">
        <v>526</v>
      </c>
    </row>
    <row r="4" spans="1:12" x14ac:dyDescent="0.3">
      <c r="B4" t="s">
        <v>5</v>
      </c>
      <c r="C4" t="s">
        <v>232</v>
      </c>
      <c r="D4" s="10">
        <v>0.6</v>
      </c>
      <c r="E4" s="421"/>
      <c r="F4" s="421"/>
      <c r="G4" s="421">
        <v>0.65231378512736793</v>
      </c>
      <c r="H4" s="209" t="s">
        <v>222</v>
      </c>
      <c r="J4" s="154" t="s">
        <v>525</v>
      </c>
      <c r="K4">
        <v>154.94999999999999</v>
      </c>
      <c r="L4" s="155" t="s">
        <v>526</v>
      </c>
    </row>
    <row r="5" spans="1:12" ht="15" thickBot="1" x14ac:dyDescent="0.35">
      <c r="B5" t="s">
        <v>5</v>
      </c>
      <c r="C5" t="s">
        <v>369</v>
      </c>
      <c r="D5" s="10">
        <v>2.1000000000000001E-2</v>
      </c>
      <c r="E5" s="421">
        <v>1.581</v>
      </c>
      <c r="F5" s="421">
        <v>0.378</v>
      </c>
      <c r="G5" s="421">
        <v>2.1297708938367219E-2</v>
      </c>
      <c r="H5" s="209" t="s">
        <v>222</v>
      </c>
      <c r="J5" s="158"/>
      <c r="K5" s="156">
        <f>K3/K4</f>
        <v>0.38031623104227175</v>
      </c>
      <c r="L5" s="157"/>
    </row>
    <row r="6" spans="1:12" x14ac:dyDescent="0.3">
      <c r="B6" t="s">
        <v>5</v>
      </c>
      <c r="C6" t="s">
        <v>367</v>
      </c>
      <c r="D6" s="10">
        <v>8.3999999999999995E-3</v>
      </c>
      <c r="E6" s="421">
        <v>0.57699999999999996</v>
      </c>
      <c r="F6" s="421">
        <v>0.13800000000000001</v>
      </c>
      <c r="G6" s="421">
        <v>8.3669570829299784E-3</v>
      </c>
      <c r="H6" s="209" t="s">
        <v>222</v>
      </c>
      <c r="J6" s="151" t="s">
        <v>527</v>
      </c>
      <c r="K6" s="152">
        <v>92.926000000000002</v>
      </c>
      <c r="L6" s="153" t="s">
        <v>526</v>
      </c>
    </row>
    <row r="7" spans="1:12" ht="15" thickBot="1" x14ac:dyDescent="0.35">
      <c r="B7" t="s">
        <v>5</v>
      </c>
      <c r="C7" t="s">
        <v>15</v>
      </c>
      <c r="D7" s="10">
        <v>1</v>
      </c>
      <c r="E7" s="421">
        <v>1.1080000000000001</v>
      </c>
      <c r="F7" s="421">
        <v>1.056</v>
      </c>
      <c r="G7" s="421">
        <v>1.0401648919006132</v>
      </c>
      <c r="H7" s="209" t="s">
        <v>222</v>
      </c>
      <c r="J7" s="158"/>
      <c r="K7" s="156">
        <f>K3/K6</f>
        <v>0.63416051481824243</v>
      </c>
      <c r="L7" s="157"/>
    </row>
    <row r="8" spans="1:12" x14ac:dyDescent="0.3">
      <c r="B8" t="s">
        <v>5</v>
      </c>
      <c r="C8" t="s">
        <v>158</v>
      </c>
      <c r="D8" s="10">
        <v>0.98</v>
      </c>
      <c r="E8" s="421">
        <v>0.97699999999999998</v>
      </c>
      <c r="F8" s="421">
        <v>0.97699999999999998</v>
      </c>
      <c r="G8" s="421">
        <v>0.97741271377863836</v>
      </c>
      <c r="H8" s="209" t="s">
        <v>222</v>
      </c>
    </row>
    <row r="9" spans="1:12" x14ac:dyDescent="0.3">
      <c r="B9" t="s">
        <v>5</v>
      </c>
      <c r="C9" t="s">
        <v>233</v>
      </c>
      <c r="D9" s="10">
        <v>0.54</v>
      </c>
      <c r="E9" s="421">
        <v>0.53600000000000003</v>
      </c>
      <c r="F9" s="421">
        <v>0.53600000000000003</v>
      </c>
      <c r="G9" s="421">
        <v>0.5358655695385609</v>
      </c>
      <c r="H9" s="209" t="s">
        <v>222</v>
      </c>
      <c r="J9" s="243"/>
    </row>
    <row r="10" spans="1:12" x14ac:dyDescent="0.3">
      <c r="B10" t="s">
        <v>5</v>
      </c>
      <c r="C10" t="s">
        <v>221</v>
      </c>
      <c r="D10" s="10">
        <v>1.7999999999999999E-2</v>
      </c>
      <c r="E10" s="421">
        <v>1.7999999999999999E-2</v>
      </c>
      <c r="F10" s="421">
        <v>1.7999999999999999E-2</v>
      </c>
      <c r="G10" s="421">
        <v>1.7874862858986772E-2</v>
      </c>
      <c r="H10" s="209" t="s">
        <v>222</v>
      </c>
    </row>
    <row r="11" spans="1:12" x14ac:dyDescent="0.3">
      <c r="B11" t="s">
        <v>5</v>
      </c>
      <c r="C11" t="s">
        <v>1049</v>
      </c>
      <c r="D11" s="10">
        <v>0.03</v>
      </c>
      <c r="E11" s="421">
        <v>0.03</v>
      </c>
      <c r="F11" s="421">
        <v>0.03</v>
      </c>
      <c r="G11" s="421">
        <v>3.0425298483381741E-2</v>
      </c>
      <c r="H11" s="209" t="s">
        <v>222</v>
      </c>
    </row>
    <row r="12" spans="1:12" x14ac:dyDescent="0.3">
      <c r="B12" t="s">
        <v>5</v>
      </c>
      <c r="C12" t="s">
        <v>234</v>
      </c>
      <c r="D12" s="10">
        <v>0.22</v>
      </c>
      <c r="E12" s="421">
        <v>0.218</v>
      </c>
      <c r="F12" s="421">
        <v>0.218</v>
      </c>
      <c r="G12" s="421">
        <v>0.21830151661826397</v>
      </c>
      <c r="H12" s="209" t="s">
        <v>222</v>
      </c>
    </row>
    <row r="13" spans="1:12" x14ac:dyDescent="0.3">
      <c r="B13" t="s">
        <v>5</v>
      </c>
      <c r="C13" t="s">
        <v>235</v>
      </c>
      <c r="D13" s="10">
        <v>3.3000000000000002E-2</v>
      </c>
      <c r="E13" s="421">
        <v>3.4000000000000002E-2</v>
      </c>
      <c r="F13" s="421">
        <v>3.4000000000000002E-2</v>
      </c>
      <c r="G13" s="421">
        <v>3.3467828331719914E-2</v>
      </c>
      <c r="H13" s="209" t="s">
        <v>222</v>
      </c>
    </row>
    <row r="14" spans="1:12" x14ac:dyDescent="0.3">
      <c r="B14" t="s">
        <v>36</v>
      </c>
      <c r="C14" t="s">
        <v>161</v>
      </c>
      <c r="D14" s="10">
        <v>1.3000000000000002E-3</v>
      </c>
      <c r="E14" s="421">
        <v>8.3807469999999995E-2</v>
      </c>
      <c r="F14" s="421">
        <v>3.4326164999999999E-2</v>
      </c>
      <c r="G14" s="421">
        <v>1.884589386640852E-2</v>
      </c>
      <c r="H14" s="209" t="s">
        <v>519</v>
      </c>
    </row>
    <row r="15" spans="1:12" x14ac:dyDescent="0.3">
      <c r="B15" t="s">
        <v>5</v>
      </c>
      <c r="C15" t="s">
        <v>502</v>
      </c>
      <c r="D15" s="10">
        <v>11</v>
      </c>
      <c r="E15" s="421">
        <v>10.76684648</v>
      </c>
      <c r="F15" s="421">
        <v>10.76684648</v>
      </c>
      <c r="G15" s="421">
        <v>10.768879582104164</v>
      </c>
      <c r="H15" s="209" t="s">
        <v>37</v>
      </c>
    </row>
    <row r="16" spans="1:12" x14ac:dyDescent="0.3">
      <c r="B16" t="s">
        <v>5</v>
      </c>
      <c r="C16" t="s">
        <v>820</v>
      </c>
      <c r="D16" s="10">
        <v>1.1666676000000002</v>
      </c>
      <c r="E16" s="421">
        <v>4.4209812478932813</v>
      </c>
      <c r="F16" s="421">
        <v>1.8993953906262084</v>
      </c>
      <c r="G16" s="421">
        <v>1.1524942241838787</v>
      </c>
      <c r="H16" s="209" t="s">
        <v>127</v>
      </c>
    </row>
    <row r="17" spans="1:9" x14ac:dyDescent="0.3">
      <c r="B17" s="4" t="s">
        <v>5</v>
      </c>
      <c r="C17" s="4" t="s">
        <v>821</v>
      </c>
      <c r="D17" s="258">
        <v>4.0000000000000001E-10</v>
      </c>
      <c r="E17" s="422"/>
      <c r="F17" s="422"/>
      <c r="G17" s="422">
        <v>4.0000000000000001E-10</v>
      </c>
      <c r="H17" s="370" t="s">
        <v>22</v>
      </c>
    </row>
    <row r="18" spans="1:9" x14ac:dyDescent="0.3">
      <c r="A18" s="2" t="s">
        <v>518</v>
      </c>
      <c r="B18" t="s">
        <v>7</v>
      </c>
      <c r="C18" t="s">
        <v>232</v>
      </c>
      <c r="D18" s="10">
        <v>1</v>
      </c>
      <c r="E18" s="421"/>
      <c r="F18" s="421"/>
      <c r="G18" s="421">
        <v>1</v>
      </c>
      <c r="H18" s="209" t="s">
        <v>942</v>
      </c>
    </row>
    <row r="19" spans="1:9" ht="15" x14ac:dyDescent="0.3">
      <c r="B19" t="s">
        <v>5</v>
      </c>
      <c r="C19" t="s">
        <v>236</v>
      </c>
      <c r="D19" s="421">
        <v>130</v>
      </c>
      <c r="E19" s="421"/>
      <c r="F19" s="421"/>
      <c r="G19" s="423">
        <v>130</v>
      </c>
      <c r="H19" s="209" t="s">
        <v>222</v>
      </c>
    </row>
    <row r="20" spans="1:9" x14ac:dyDescent="0.3">
      <c r="B20" t="s">
        <v>244</v>
      </c>
      <c r="C20" t="s">
        <v>243</v>
      </c>
      <c r="D20" s="10">
        <v>2</v>
      </c>
      <c r="E20" s="421">
        <v>1.1990000000000001</v>
      </c>
      <c r="F20" s="421">
        <v>0.27400000000000002</v>
      </c>
      <c r="G20" s="421">
        <v>0.42004324643622237</v>
      </c>
      <c r="H20" s="209" t="s">
        <v>222</v>
      </c>
    </row>
    <row r="21" spans="1:9" x14ac:dyDescent="0.3">
      <c r="B21" t="s">
        <v>5</v>
      </c>
      <c r="C21" t="s">
        <v>369</v>
      </c>
      <c r="D21" s="10">
        <v>2.6</v>
      </c>
      <c r="E21" s="421"/>
      <c r="F21" s="421"/>
      <c r="G21" s="421">
        <v>0.54682623484951287</v>
      </c>
      <c r="H21" s="209" t="s">
        <v>222</v>
      </c>
    </row>
    <row r="22" spans="1:9" x14ac:dyDescent="0.3">
      <c r="B22" t="s">
        <v>5</v>
      </c>
      <c r="C22" t="s">
        <v>367</v>
      </c>
      <c r="D22" s="10">
        <v>0.95</v>
      </c>
      <c r="E22" s="421"/>
      <c r="F22" s="421"/>
      <c r="G22" s="421">
        <v>0.19872804449741693</v>
      </c>
      <c r="H22" s="209" t="s">
        <v>222</v>
      </c>
    </row>
    <row r="23" spans="1:9" x14ac:dyDescent="0.3">
      <c r="B23" t="s">
        <v>5</v>
      </c>
      <c r="C23" t="s">
        <v>15</v>
      </c>
      <c r="D23" s="10">
        <v>0.11</v>
      </c>
      <c r="E23" s="421"/>
      <c r="F23" s="421"/>
      <c r="G23" s="421">
        <v>2.4275292750857512E-2</v>
      </c>
      <c r="H23" s="209" t="s">
        <v>222</v>
      </c>
    </row>
    <row r="24" spans="1:9" x14ac:dyDescent="0.3">
      <c r="B24" t="s">
        <v>5</v>
      </c>
      <c r="C24" t="s">
        <v>237</v>
      </c>
      <c r="D24" s="10">
        <v>0.75</v>
      </c>
      <c r="E24" s="421">
        <v>0.44700000000000001</v>
      </c>
      <c r="F24" s="421">
        <v>0.44700000000000001</v>
      </c>
      <c r="G24" s="421">
        <v>0.68525303341967658</v>
      </c>
      <c r="H24" s="209" t="s">
        <v>222</v>
      </c>
    </row>
    <row r="25" spans="1:9" x14ac:dyDescent="0.3">
      <c r="B25" t="s">
        <v>36</v>
      </c>
      <c r="C25" t="s">
        <v>438</v>
      </c>
      <c r="D25" s="10">
        <v>6.6E-3</v>
      </c>
      <c r="E25" s="421"/>
      <c r="F25" s="421"/>
      <c r="G25" s="421">
        <v>1.9854177874108113E-2</v>
      </c>
      <c r="H25" s="209" t="s">
        <v>519</v>
      </c>
    </row>
    <row r="26" spans="1:9" x14ac:dyDescent="0.3">
      <c r="B26" t="s">
        <v>5</v>
      </c>
      <c r="C26" t="s">
        <v>819</v>
      </c>
      <c r="D26" s="10">
        <v>5.5555600000000007</v>
      </c>
      <c r="E26" s="421"/>
      <c r="F26" s="421"/>
      <c r="G26" s="421">
        <v>1.1450028858373626</v>
      </c>
      <c r="H26" s="209" t="s">
        <v>127</v>
      </c>
    </row>
    <row r="27" spans="1:9" x14ac:dyDescent="0.3">
      <c r="B27" s="4" t="s">
        <v>6</v>
      </c>
      <c r="C27" s="4" t="s">
        <v>238</v>
      </c>
      <c r="D27" s="258">
        <v>1.7999999999999999E-2</v>
      </c>
      <c r="E27" s="422">
        <v>1.0936E-2</v>
      </c>
      <c r="F27" s="422">
        <v>2.5000000000000001E-3</v>
      </c>
      <c r="G27" s="422">
        <v>3.8325113725932694E-3</v>
      </c>
      <c r="H27" s="370" t="s">
        <v>222</v>
      </c>
    </row>
    <row r="28" spans="1:9" x14ac:dyDescent="0.3">
      <c r="A28" s="2" t="s">
        <v>517</v>
      </c>
      <c r="B28" t="s">
        <v>7</v>
      </c>
      <c r="C28" t="s">
        <v>236</v>
      </c>
      <c r="D28" s="10">
        <v>1</v>
      </c>
      <c r="E28" s="421"/>
      <c r="F28" s="421"/>
      <c r="G28" s="421">
        <v>1</v>
      </c>
      <c r="H28" s="209" t="s">
        <v>528</v>
      </c>
    </row>
    <row r="29" spans="1:9" ht="15" x14ac:dyDescent="0.3">
      <c r="B29" t="s">
        <v>210</v>
      </c>
      <c r="C29" t="s">
        <v>817</v>
      </c>
      <c r="D29" s="10">
        <v>4.7000000000000002E-3</v>
      </c>
      <c r="E29" s="423">
        <v>0.36659999999999998</v>
      </c>
      <c r="F29" s="423">
        <v>0.36659999999999998</v>
      </c>
      <c r="G29" s="423">
        <v>4.7000000000000002E-3</v>
      </c>
      <c r="H29" s="209" t="s">
        <v>824</v>
      </c>
      <c r="I29" t="s">
        <v>825</v>
      </c>
    </row>
    <row r="30" spans="1:9" x14ac:dyDescent="0.3">
      <c r="B30" t="s">
        <v>36</v>
      </c>
      <c r="C30" t="s">
        <v>818</v>
      </c>
      <c r="D30" s="10">
        <v>7.1999999999999997E-6</v>
      </c>
      <c r="E30" s="421"/>
      <c r="F30" s="421"/>
      <c r="G30" s="421">
        <v>2.9876072415959405E-5</v>
      </c>
      <c r="H30" s="209" t="s">
        <v>519</v>
      </c>
    </row>
    <row r="31" spans="1:9" ht="15" x14ac:dyDescent="0.3">
      <c r="B31" t="s">
        <v>5</v>
      </c>
      <c r="C31" t="s">
        <v>184</v>
      </c>
      <c r="D31" s="10">
        <v>0.35</v>
      </c>
      <c r="E31" s="421">
        <v>28.447474928000005</v>
      </c>
      <c r="F31" s="421">
        <v>8.6535693120000001</v>
      </c>
      <c r="G31" s="424">
        <v>0.10204585477465884</v>
      </c>
      <c r="H31" s="209" t="s">
        <v>37</v>
      </c>
    </row>
    <row r="32" spans="1:9" ht="15" x14ac:dyDescent="0.3">
      <c r="B32" t="s">
        <v>6</v>
      </c>
      <c r="C32" t="s">
        <v>264</v>
      </c>
      <c r="D32" s="10">
        <f>0.000089</f>
        <v>8.8999999999999995E-5</v>
      </c>
      <c r="E32" s="421">
        <v>7.2049999999999996E-3</v>
      </c>
      <c r="F32" s="421">
        <v>2.1919999999999999E-3</v>
      </c>
      <c r="G32" s="424">
        <v>2.5848815165305991E-5</v>
      </c>
      <c r="H32" s="209" t="s">
        <v>222</v>
      </c>
    </row>
    <row r="33" spans="1:22" ht="15" x14ac:dyDescent="0.3">
      <c r="B33" t="s">
        <v>6</v>
      </c>
      <c r="C33" t="s">
        <v>191</v>
      </c>
      <c r="D33" s="10">
        <f>0.00086</f>
        <v>8.5999999999999998E-4</v>
      </c>
      <c r="E33" s="421">
        <v>6.9808999999999996E-2</v>
      </c>
      <c r="F33" s="421">
        <v>2.1235999999999998E-2</v>
      </c>
      <c r="G33" s="424">
        <v>2.5042218925658668E-4</v>
      </c>
      <c r="H33" s="209" t="s">
        <v>222</v>
      </c>
    </row>
    <row r="34" spans="1:22" x14ac:dyDescent="0.3">
      <c r="E34" s="209"/>
      <c r="F34" s="209"/>
      <c r="G34" s="209"/>
      <c r="H34" s="209"/>
    </row>
    <row r="36" spans="1:22" ht="72" x14ac:dyDescent="0.3">
      <c r="B36" s="43" t="s">
        <v>365</v>
      </c>
      <c r="C36" s="46" t="s">
        <v>889</v>
      </c>
      <c r="D36" s="351" t="s">
        <v>326</v>
      </c>
      <c r="E36" s="46" t="s">
        <v>1</v>
      </c>
      <c r="F36" s="48" t="s">
        <v>62</v>
      </c>
      <c r="G36" s="576" t="s">
        <v>255</v>
      </c>
      <c r="H36" s="577"/>
      <c r="I36" s="577"/>
      <c r="J36" s="577"/>
      <c r="K36" s="577"/>
      <c r="L36" s="577"/>
      <c r="M36" s="577"/>
      <c r="N36" s="577"/>
      <c r="O36" s="577"/>
      <c r="P36" s="577"/>
      <c r="Q36" s="577"/>
      <c r="R36" s="577"/>
      <c r="S36" s="577"/>
      <c r="T36" s="577"/>
      <c r="U36" s="577"/>
      <c r="V36" s="577"/>
    </row>
    <row r="37" spans="1:22" s="42" customFormat="1" x14ac:dyDescent="0.3">
      <c r="A37" s="552" t="s">
        <v>894</v>
      </c>
      <c r="B37" s="552" t="s">
        <v>894</v>
      </c>
      <c r="C37" s="50" t="s">
        <v>155</v>
      </c>
      <c r="D37" s="50" t="s">
        <v>48</v>
      </c>
      <c r="E37" s="51">
        <v>1</v>
      </c>
      <c r="F37" s="42" t="s">
        <v>3</v>
      </c>
      <c r="G37" s="42" t="s">
        <v>310</v>
      </c>
    </row>
    <row r="38" spans="1:22" s="15" customFormat="1" x14ac:dyDescent="0.3">
      <c r="A38" s="553"/>
      <c r="B38" s="553"/>
      <c r="C38" s="16" t="s">
        <v>5</v>
      </c>
      <c r="D38" s="16" t="s">
        <v>156</v>
      </c>
      <c r="E38" s="150">
        <v>0.40033287478133861</v>
      </c>
      <c r="F38" s="15" t="s">
        <v>3</v>
      </c>
      <c r="G38" s="15" t="s">
        <v>431</v>
      </c>
    </row>
    <row r="39" spans="1:22" s="15" customFormat="1" x14ac:dyDescent="0.3">
      <c r="A39" s="553"/>
      <c r="B39" s="553"/>
      <c r="C39" s="16" t="s">
        <v>5</v>
      </c>
      <c r="D39" s="16" t="s">
        <v>158</v>
      </c>
      <c r="E39" s="150">
        <v>0.66988503390901777</v>
      </c>
      <c r="G39" s="15" t="s">
        <v>432</v>
      </c>
    </row>
    <row r="40" spans="1:22" s="15" customFormat="1" ht="15" x14ac:dyDescent="0.35">
      <c r="A40" s="553"/>
      <c r="B40" s="553"/>
      <c r="C40" s="16" t="s">
        <v>5</v>
      </c>
      <c r="D40" s="16" t="s">
        <v>159</v>
      </c>
      <c r="E40" s="34">
        <v>2.6000000000000002E-2</v>
      </c>
      <c r="F40" s="15" t="s">
        <v>3</v>
      </c>
      <c r="G40" s="400" t="s">
        <v>168</v>
      </c>
    </row>
    <row r="41" spans="1:22" s="15" customFormat="1" ht="28.8" x14ac:dyDescent="0.3">
      <c r="A41" s="553"/>
      <c r="B41" s="553"/>
      <c r="C41" s="16" t="s">
        <v>5</v>
      </c>
      <c r="D41" s="16" t="s">
        <v>16</v>
      </c>
      <c r="E41" s="34">
        <v>4.0000000000000001E-10</v>
      </c>
      <c r="F41" s="15" t="s">
        <v>22</v>
      </c>
      <c r="G41" s="35" t="s">
        <v>180</v>
      </c>
    </row>
    <row r="42" spans="1:22" s="15" customFormat="1" ht="28.8" x14ac:dyDescent="0.35">
      <c r="A42" s="553"/>
      <c r="B42" s="553"/>
      <c r="C42" s="16" t="s">
        <v>5</v>
      </c>
      <c r="D42" s="16" t="s">
        <v>19</v>
      </c>
      <c r="E42" s="34">
        <v>0.41599999999999998</v>
      </c>
      <c r="F42" s="15" t="s">
        <v>4</v>
      </c>
      <c r="G42" s="400" t="s">
        <v>166</v>
      </c>
    </row>
    <row r="43" spans="1:22" s="15" customFormat="1" ht="28.8" x14ac:dyDescent="0.35">
      <c r="A43" s="553"/>
      <c r="B43" s="553"/>
      <c r="C43" s="16" t="s">
        <v>5</v>
      </c>
      <c r="D43" s="16" t="s">
        <v>20</v>
      </c>
      <c r="E43" s="34">
        <v>2.3499999999999996</v>
      </c>
      <c r="F43" s="15" t="s">
        <v>21</v>
      </c>
      <c r="G43" s="400" t="s">
        <v>167</v>
      </c>
    </row>
    <row r="44" spans="1:22" s="15" customFormat="1" ht="15" x14ac:dyDescent="0.35">
      <c r="A44" s="553"/>
      <c r="B44" s="553"/>
      <c r="C44" s="16" t="s">
        <v>5</v>
      </c>
      <c r="D44" s="16" t="s">
        <v>157</v>
      </c>
      <c r="E44" s="34">
        <v>1.9E-2</v>
      </c>
      <c r="F44" s="15" t="s">
        <v>3</v>
      </c>
      <c r="G44" s="400" t="s">
        <v>169</v>
      </c>
    </row>
    <row r="45" spans="1:22" s="15" customFormat="1" ht="43.2" x14ac:dyDescent="0.35">
      <c r="A45" s="553"/>
      <c r="B45" s="553"/>
      <c r="C45" s="16" t="s">
        <v>36</v>
      </c>
      <c r="D45" s="16" t="s">
        <v>161</v>
      </c>
      <c r="E45" s="34">
        <v>1.6399999999999998E-2</v>
      </c>
      <c r="F45" s="15" t="s">
        <v>55</v>
      </c>
      <c r="G45" s="400" t="s">
        <v>170</v>
      </c>
    </row>
    <row r="46" spans="1:22" s="15" customFormat="1" ht="15" x14ac:dyDescent="0.35">
      <c r="A46" s="553"/>
      <c r="B46" s="553"/>
      <c r="C46" s="16" t="s">
        <v>36</v>
      </c>
      <c r="D46" s="16" t="s">
        <v>162</v>
      </c>
      <c r="E46" s="34">
        <v>8.5999999999999998E-4</v>
      </c>
      <c r="F46" s="15" t="s">
        <v>55</v>
      </c>
      <c r="G46" s="400" t="s">
        <v>171</v>
      </c>
    </row>
    <row r="47" spans="1:22" s="15" customFormat="1" ht="15" x14ac:dyDescent="0.35">
      <c r="A47" s="553"/>
      <c r="B47" s="553"/>
      <c r="C47" s="16" t="s">
        <v>36</v>
      </c>
      <c r="D47" s="16" t="s">
        <v>160</v>
      </c>
      <c r="E47" s="34">
        <v>8.3000000000000001E-4</v>
      </c>
      <c r="F47" s="15" t="s">
        <v>55</v>
      </c>
      <c r="G47" s="400" t="s">
        <v>171</v>
      </c>
    </row>
    <row r="48" spans="1:22" s="15" customFormat="1" ht="15" x14ac:dyDescent="0.3">
      <c r="A48" s="553"/>
      <c r="B48" s="553"/>
      <c r="C48" s="16" t="s">
        <v>164</v>
      </c>
      <c r="D48" s="16" t="s">
        <v>163</v>
      </c>
      <c r="E48" s="34">
        <v>1.9E-2</v>
      </c>
      <c r="F48" s="15" t="s">
        <v>3</v>
      </c>
      <c r="G48" s="35" t="s">
        <v>181</v>
      </c>
    </row>
    <row r="49" spans="1:7" s="15" customFormat="1" ht="15" x14ac:dyDescent="0.35">
      <c r="A49" s="553"/>
      <c r="B49" s="553"/>
      <c r="C49" s="16" t="s">
        <v>164</v>
      </c>
      <c r="D49" s="16" t="s">
        <v>32</v>
      </c>
      <c r="E49" s="34">
        <v>1.4E-3</v>
      </c>
      <c r="F49" s="15" t="s">
        <v>55</v>
      </c>
      <c r="G49" s="400" t="s">
        <v>172</v>
      </c>
    </row>
    <row r="50" spans="1:7" s="15" customFormat="1" x14ac:dyDescent="0.3">
      <c r="A50" s="553"/>
      <c r="B50" s="553"/>
      <c r="C50" s="16" t="s">
        <v>165</v>
      </c>
      <c r="D50" s="16" t="s">
        <v>179</v>
      </c>
      <c r="E50" s="352">
        <v>2.1070151304280957E-3</v>
      </c>
      <c r="G50" s="28" t="s">
        <v>897</v>
      </c>
    </row>
    <row r="51" spans="1:7" s="15" customFormat="1" x14ac:dyDescent="0.3">
      <c r="A51" s="553"/>
      <c r="B51" s="553"/>
      <c r="C51" s="16" t="s">
        <v>165</v>
      </c>
      <c r="D51" s="16" t="s">
        <v>250</v>
      </c>
      <c r="E51" s="353">
        <v>3.4545031157815573E-3</v>
      </c>
      <c r="G51" s="28" t="s">
        <v>898</v>
      </c>
    </row>
    <row r="52" spans="1:7" s="15" customFormat="1" ht="15" x14ac:dyDescent="0.35">
      <c r="A52" s="553"/>
      <c r="B52" s="553"/>
      <c r="C52" s="16" t="s">
        <v>165</v>
      </c>
      <c r="D52" s="16" t="s">
        <v>32</v>
      </c>
      <c r="E52" s="34">
        <v>1.67E-2</v>
      </c>
      <c r="F52" s="15" t="s">
        <v>55</v>
      </c>
      <c r="G52" s="400" t="s">
        <v>173</v>
      </c>
    </row>
    <row r="53" spans="1:7" s="55" customFormat="1" ht="15" x14ac:dyDescent="0.35">
      <c r="A53" s="558"/>
      <c r="B53" s="558"/>
      <c r="C53" s="54" t="s">
        <v>174</v>
      </c>
      <c r="D53" s="54" t="s">
        <v>54</v>
      </c>
      <c r="E53" s="134">
        <v>2.7E-6</v>
      </c>
      <c r="F53" s="55" t="s">
        <v>55</v>
      </c>
      <c r="G53" s="401" t="s">
        <v>182</v>
      </c>
    </row>
    <row r="54" spans="1:7" x14ac:dyDescent="0.3">
      <c r="D54" s="488"/>
      <c r="E54" s="13"/>
    </row>
    <row r="55" spans="1:7" x14ac:dyDescent="0.3">
      <c r="F55" s="138"/>
    </row>
    <row r="56" spans="1:7" x14ac:dyDescent="0.3">
      <c r="D56" s="487"/>
      <c r="E56" s="9"/>
    </row>
    <row r="59" spans="1:7" x14ac:dyDescent="0.3">
      <c r="D59" s="487"/>
      <c r="E59" s="9"/>
    </row>
    <row r="60" spans="1:7" x14ac:dyDescent="0.3">
      <c r="D60" s="487"/>
      <c r="E60" s="9"/>
    </row>
    <row r="61" spans="1:7" x14ac:dyDescent="0.3">
      <c r="D61" s="487"/>
      <c r="E61" s="9"/>
    </row>
    <row r="74" spans="4:5" x14ac:dyDescent="0.3">
      <c r="D74" s="487"/>
      <c r="E74" s="9"/>
    </row>
    <row r="75" spans="4:5" x14ac:dyDescent="0.3">
      <c r="D75" s="487"/>
      <c r="E75" s="9"/>
    </row>
    <row r="76" spans="4:5" x14ac:dyDescent="0.3">
      <c r="D76" s="487"/>
      <c r="E76" s="9"/>
    </row>
    <row r="77" spans="4:5" x14ac:dyDescent="0.3">
      <c r="D77" s="487"/>
      <c r="E77" s="9"/>
    </row>
    <row r="79" spans="4:5" x14ac:dyDescent="0.3">
      <c r="D79" s="487"/>
      <c r="E79" s="9"/>
    </row>
  </sheetData>
  <mergeCells count="3">
    <mergeCell ref="A37:A53"/>
    <mergeCell ref="G36:V36"/>
    <mergeCell ref="B37:B53"/>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14999847407452621"/>
  </sheetPr>
  <dimension ref="A1:L121"/>
  <sheetViews>
    <sheetView zoomScale="80" zoomScaleNormal="80" workbookViewId="0">
      <pane xSplit="1" ySplit="3" topLeftCell="B4" activePane="bottomRight" state="frozen"/>
      <selection activeCell="D36" sqref="D36"/>
      <selection pane="topRight" activeCell="D36" sqref="D36"/>
      <selection pane="bottomLeft" activeCell="D36" sqref="D36"/>
      <selection pane="bottomRight" activeCell="F76" sqref="F76"/>
    </sheetView>
  </sheetViews>
  <sheetFormatPr defaultRowHeight="14.4" x14ac:dyDescent="0.3"/>
  <cols>
    <col min="1" max="1" width="17.5546875" customWidth="1"/>
    <col min="2" max="2" width="24.77734375" bestFit="1" customWidth="1"/>
    <col min="3" max="3" width="39.21875" bestFit="1" customWidth="1"/>
    <col min="4" max="4" width="13.33203125" customWidth="1"/>
    <col min="5" max="5" width="11" customWidth="1"/>
    <col min="6" max="6" width="57.44140625" customWidth="1"/>
    <col min="7" max="7" width="25.6640625" customWidth="1"/>
    <col min="8" max="8" width="29.21875" customWidth="1"/>
    <col min="9" max="9" width="12.33203125" customWidth="1"/>
    <col min="10" max="10" width="11.21875" customWidth="1"/>
    <col min="11" max="11" width="12.44140625" bestFit="1" customWidth="1"/>
  </cols>
  <sheetData>
    <row r="1" spans="1:8" s="15" customFormat="1" x14ac:dyDescent="0.3">
      <c r="C1" s="246"/>
      <c r="D1" s="246"/>
      <c r="E1" s="246"/>
      <c r="F1" s="183"/>
      <c r="G1" s="246"/>
      <c r="H1" s="246"/>
    </row>
    <row r="2" spans="1:8" s="15" customFormat="1" x14ac:dyDescent="0.3">
      <c r="A2" s="16"/>
      <c r="B2" s="16"/>
      <c r="C2" s="16"/>
      <c r="D2" s="34"/>
      <c r="E2" s="14"/>
      <c r="G2" s="16"/>
    </row>
    <row r="3" spans="1:8" s="49" customFormat="1" ht="28.8" x14ac:dyDescent="0.3">
      <c r="A3" s="43" t="s">
        <v>365</v>
      </c>
      <c r="B3" s="46" t="s">
        <v>889</v>
      </c>
      <c r="C3" s="351" t="s">
        <v>326</v>
      </c>
      <c r="D3" s="46" t="s">
        <v>1</v>
      </c>
      <c r="E3" s="48" t="s">
        <v>62</v>
      </c>
      <c r="F3" s="397" t="s">
        <v>255</v>
      </c>
    </row>
    <row r="4" spans="1:8" s="42" customFormat="1" x14ac:dyDescent="0.3">
      <c r="A4" s="552" t="s">
        <v>893</v>
      </c>
      <c r="B4" s="50" t="s">
        <v>7</v>
      </c>
      <c r="C4" s="50" t="s">
        <v>385</v>
      </c>
      <c r="D4" s="51">
        <v>1</v>
      </c>
      <c r="E4" s="42" t="s">
        <v>3</v>
      </c>
    </row>
    <row r="5" spans="1:8" s="15" customFormat="1" x14ac:dyDescent="0.3">
      <c r="A5" s="553"/>
      <c r="B5" s="16" t="s">
        <v>5</v>
      </c>
      <c r="C5" t="s">
        <v>895</v>
      </c>
      <c r="D5" s="34">
        <v>7.0199999999999999E-2</v>
      </c>
      <c r="E5" s="16" t="s">
        <v>3</v>
      </c>
      <c r="F5" s="578" t="s">
        <v>334</v>
      </c>
    </row>
    <row r="6" spans="1:8" s="15" customFormat="1" x14ac:dyDescent="0.3">
      <c r="A6" s="553"/>
      <c r="B6" s="16" t="s">
        <v>5</v>
      </c>
      <c r="C6" s="15" t="s">
        <v>643</v>
      </c>
      <c r="D6" s="34">
        <v>0.28079999999999999</v>
      </c>
      <c r="E6" s="16" t="s">
        <v>3</v>
      </c>
      <c r="F6" s="579"/>
    </row>
    <row r="7" spans="1:8" s="15" customFormat="1" x14ac:dyDescent="0.3">
      <c r="A7" s="553"/>
      <c r="B7" s="16" t="s">
        <v>5</v>
      </c>
      <c r="C7" s="167" t="s">
        <v>274</v>
      </c>
      <c r="D7" s="34">
        <f>SUM(D5:D6)</f>
        <v>0.35099999999999998</v>
      </c>
      <c r="E7" s="16" t="s">
        <v>3</v>
      </c>
      <c r="F7" s="398"/>
    </row>
    <row r="8" spans="1:8" s="15" customFormat="1" x14ac:dyDescent="0.3">
      <c r="A8" s="553"/>
      <c r="B8" s="16" t="s">
        <v>5</v>
      </c>
      <c r="C8" s="15" t="s">
        <v>25</v>
      </c>
      <c r="D8" s="19">
        <v>0.218</v>
      </c>
      <c r="E8" s="16" t="s">
        <v>3</v>
      </c>
    </row>
    <row r="9" spans="1:8" s="15" customFormat="1" x14ac:dyDescent="0.3">
      <c r="A9" s="553"/>
      <c r="B9" s="16" t="s">
        <v>5</v>
      </c>
      <c r="C9" s="15" t="s">
        <v>24</v>
      </c>
      <c r="D9" s="19">
        <v>1.44E-2</v>
      </c>
      <c r="E9" s="16" t="s">
        <v>3</v>
      </c>
    </row>
    <row r="10" spans="1:8" s="15" customFormat="1" x14ac:dyDescent="0.3">
      <c r="A10" s="553"/>
      <c r="B10" s="16" t="s">
        <v>5</v>
      </c>
      <c r="C10" s="15" t="s">
        <v>26</v>
      </c>
      <c r="D10" s="19">
        <v>2.6200000000000001E-2</v>
      </c>
      <c r="E10" s="16" t="s">
        <v>3</v>
      </c>
    </row>
    <row r="11" spans="1:8" s="15" customFormat="1" x14ac:dyDescent="0.3">
      <c r="A11" s="553"/>
      <c r="B11" s="16" t="s">
        <v>5</v>
      </c>
      <c r="C11" s="15" t="s">
        <v>27</v>
      </c>
      <c r="D11" s="19">
        <v>0.29099999999999998</v>
      </c>
      <c r="E11" s="16" t="s">
        <v>3</v>
      </c>
    </row>
    <row r="12" spans="1:8" s="15" customFormat="1" x14ac:dyDescent="0.3">
      <c r="A12" s="553"/>
      <c r="B12" s="16" t="s">
        <v>5</v>
      </c>
      <c r="C12" s="15" t="s">
        <v>28</v>
      </c>
      <c r="D12" s="19">
        <v>0.192</v>
      </c>
      <c r="E12" s="16" t="s">
        <v>3</v>
      </c>
      <c r="G12" s="396"/>
    </row>
    <row r="13" spans="1:8" s="15" customFormat="1" x14ac:dyDescent="0.3">
      <c r="A13" s="553"/>
      <c r="B13" s="16" t="s">
        <v>5</v>
      </c>
      <c r="C13" s="15" t="s">
        <v>16</v>
      </c>
      <c r="D13" s="19">
        <v>4.0000000000000001E-10</v>
      </c>
      <c r="E13" s="16" t="s">
        <v>22</v>
      </c>
    </row>
    <row r="14" spans="1:8" s="15" customFormat="1" x14ac:dyDescent="0.3">
      <c r="A14" s="553"/>
      <c r="B14" s="16" t="s">
        <v>5</v>
      </c>
      <c r="C14" s="15" t="s">
        <v>19</v>
      </c>
      <c r="D14" s="19">
        <v>2E-3</v>
      </c>
      <c r="E14" s="16" t="s">
        <v>4</v>
      </c>
    </row>
    <row r="15" spans="1:8" s="15" customFormat="1" ht="14.55" customHeight="1" x14ac:dyDescent="0.3">
      <c r="A15" s="553"/>
      <c r="B15" s="16" t="s">
        <v>5</v>
      </c>
      <c r="C15" s="15" t="s">
        <v>20</v>
      </c>
      <c r="D15" s="19">
        <v>0.193</v>
      </c>
      <c r="E15" s="16" t="s">
        <v>21</v>
      </c>
      <c r="G15" s="396"/>
    </row>
    <row r="16" spans="1:8" s="15" customFormat="1" ht="14.55" customHeight="1" x14ac:dyDescent="0.3">
      <c r="A16" s="553"/>
      <c r="B16" s="16" t="s">
        <v>5</v>
      </c>
      <c r="C16" s="15" t="s">
        <v>29</v>
      </c>
      <c r="D16" s="19">
        <v>-5.3900000000000003E-2</v>
      </c>
      <c r="E16" s="16" t="s">
        <v>3</v>
      </c>
    </row>
    <row r="17" spans="1:7" s="55" customFormat="1" x14ac:dyDescent="0.3">
      <c r="A17" s="558"/>
      <c r="B17" s="54" t="s">
        <v>6</v>
      </c>
      <c r="C17" s="55" t="s">
        <v>23</v>
      </c>
      <c r="D17" s="88">
        <v>1.44E-2</v>
      </c>
      <c r="E17" s="54" t="s">
        <v>3</v>
      </c>
    </row>
    <row r="18" spans="1:7" s="42" customFormat="1" x14ac:dyDescent="0.3">
      <c r="A18" s="552" t="s">
        <v>896</v>
      </c>
      <c r="B18" s="50" t="s">
        <v>7</v>
      </c>
      <c r="C18" s="50" t="s">
        <v>385</v>
      </c>
      <c r="D18" s="51">
        <v>1</v>
      </c>
      <c r="E18" s="42" t="s">
        <v>3</v>
      </c>
    </row>
    <row r="19" spans="1:7" s="15" customFormat="1" x14ac:dyDescent="0.3">
      <c r="A19" s="553"/>
      <c r="B19" s="16" t="s">
        <v>5</v>
      </c>
      <c r="C19" t="s">
        <v>895</v>
      </c>
      <c r="D19" s="34">
        <v>7.0199999999999999E-2</v>
      </c>
      <c r="E19" s="16" t="s">
        <v>3</v>
      </c>
      <c r="F19" s="578" t="s">
        <v>334</v>
      </c>
    </row>
    <row r="20" spans="1:7" s="15" customFormat="1" x14ac:dyDescent="0.3">
      <c r="A20" s="553"/>
      <c r="B20" s="16" t="s">
        <v>5</v>
      </c>
      <c r="C20" s="15" t="s">
        <v>643</v>
      </c>
      <c r="D20" s="34">
        <v>0.28079999999999999</v>
      </c>
      <c r="E20" s="16" t="s">
        <v>3</v>
      </c>
      <c r="F20" s="579"/>
    </row>
    <row r="21" spans="1:7" s="15" customFormat="1" x14ac:dyDescent="0.3">
      <c r="A21" s="553"/>
      <c r="B21" s="16" t="s">
        <v>5</v>
      </c>
      <c r="C21" s="11" t="s">
        <v>888</v>
      </c>
      <c r="D21" s="34">
        <f>SUM(D19:D20)</f>
        <v>0.35099999999999998</v>
      </c>
      <c r="E21" s="16" t="s">
        <v>3</v>
      </c>
      <c r="F21" s="398"/>
    </row>
    <row r="22" spans="1:7" s="15" customFormat="1" x14ac:dyDescent="0.3">
      <c r="A22" s="553"/>
      <c r="B22" s="16" t="s">
        <v>5</v>
      </c>
      <c r="C22" s="15" t="s">
        <v>25</v>
      </c>
      <c r="D22" s="19">
        <v>0.218</v>
      </c>
      <c r="E22" s="16" t="s">
        <v>3</v>
      </c>
    </row>
    <row r="23" spans="1:7" s="15" customFormat="1" x14ac:dyDescent="0.3">
      <c r="A23" s="553"/>
      <c r="B23" s="16" t="s">
        <v>5</v>
      </c>
      <c r="C23" s="15" t="s">
        <v>24</v>
      </c>
      <c r="D23" s="19">
        <v>1.44E-2</v>
      </c>
      <c r="E23" s="16" t="s">
        <v>3</v>
      </c>
    </row>
    <row r="24" spans="1:7" s="15" customFormat="1" x14ac:dyDescent="0.3">
      <c r="A24" s="553"/>
      <c r="B24" s="16" t="s">
        <v>5</v>
      </c>
      <c r="C24" s="15" t="s">
        <v>26</v>
      </c>
      <c r="D24" s="19">
        <v>2.6200000000000001E-2</v>
      </c>
      <c r="E24" s="16" t="s">
        <v>3</v>
      </c>
    </row>
    <row r="25" spans="1:7" s="15" customFormat="1" x14ac:dyDescent="0.3">
      <c r="A25" s="553"/>
      <c r="B25" s="16" t="s">
        <v>5</v>
      </c>
      <c r="C25" s="15" t="s">
        <v>27</v>
      </c>
      <c r="D25" s="19">
        <v>0.29099999999999998</v>
      </c>
      <c r="E25" s="16" t="s">
        <v>3</v>
      </c>
    </row>
    <row r="26" spans="1:7" s="15" customFormat="1" x14ac:dyDescent="0.3">
      <c r="A26" s="553"/>
      <c r="B26" s="16" t="s">
        <v>5</v>
      </c>
      <c r="C26" s="15" t="s">
        <v>28</v>
      </c>
      <c r="D26" s="19">
        <v>0.192</v>
      </c>
      <c r="E26" s="16" t="s">
        <v>3</v>
      </c>
      <c r="G26" s="396"/>
    </row>
    <row r="27" spans="1:7" s="15" customFormat="1" x14ac:dyDescent="0.3">
      <c r="A27" s="553"/>
      <c r="B27" s="16" t="s">
        <v>5</v>
      </c>
      <c r="C27" s="15" t="s">
        <v>16</v>
      </c>
      <c r="D27" s="19">
        <v>4.0000000000000001E-10</v>
      </c>
      <c r="E27" s="16" t="s">
        <v>22</v>
      </c>
    </row>
    <row r="28" spans="1:7" s="15" customFormat="1" x14ac:dyDescent="0.3">
      <c r="A28" s="553"/>
      <c r="B28" s="16" t="s">
        <v>5</v>
      </c>
      <c r="C28" s="15" t="s">
        <v>19</v>
      </c>
      <c r="D28" s="19">
        <v>2E-3</v>
      </c>
      <c r="E28" s="16" t="s">
        <v>4</v>
      </c>
    </row>
    <row r="29" spans="1:7" s="15" customFormat="1" ht="14.55" customHeight="1" x14ac:dyDescent="0.3">
      <c r="A29" s="553"/>
      <c r="B29" s="16" t="s">
        <v>5</v>
      </c>
      <c r="C29" s="15" t="s">
        <v>20</v>
      </c>
      <c r="D29" s="19">
        <v>0.193</v>
      </c>
      <c r="E29" s="16" t="s">
        <v>21</v>
      </c>
      <c r="G29" s="396"/>
    </row>
    <row r="30" spans="1:7" s="15" customFormat="1" ht="14.55" customHeight="1" x14ac:dyDescent="0.3">
      <c r="A30" s="553"/>
      <c r="B30" s="16" t="s">
        <v>5</v>
      </c>
      <c r="C30" s="15" t="s">
        <v>29</v>
      </c>
      <c r="D30" s="19">
        <v>-5.3900000000000003E-2</v>
      </c>
      <c r="E30" s="16" t="s">
        <v>3</v>
      </c>
    </row>
    <row r="31" spans="1:7" s="55" customFormat="1" x14ac:dyDescent="0.3">
      <c r="A31" s="558"/>
      <c r="B31" s="54" t="s">
        <v>6</v>
      </c>
      <c r="C31" s="55" t="s">
        <v>23</v>
      </c>
      <c r="D31" s="88">
        <v>1.44E-2</v>
      </c>
      <c r="E31" s="54" t="s">
        <v>3</v>
      </c>
    </row>
    <row r="32" spans="1:7" s="42" customFormat="1" x14ac:dyDescent="0.3">
      <c r="A32" s="552" t="s">
        <v>1052</v>
      </c>
      <c r="B32" s="50" t="s">
        <v>7</v>
      </c>
      <c r="C32" s="50" t="s">
        <v>385</v>
      </c>
      <c r="D32" s="51">
        <v>1</v>
      </c>
      <c r="E32" s="42" t="s">
        <v>3</v>
      </c>
    </row>
    <row r="33" spans="1:7" s="15" customFormat="1" x14ac:dyDescent="0.3">
      <c r="A33" s="553"/>
      <c r="B33" s="16" t="s">
        <v>5</v>
      </c>
      <c r="C33" s="15" t="s">
        <v>643</v>
      </c>
      <c r="D33" s="34">
        <v>0.35099999999999998</v>
      </c>
      <c r="E33" s="16" t="s">
        <v>3</v>
      </c>
      <c r="F33" s="398"/>
    </row>
    <row r="34" spans="1:7" s="15" customFormat="1" x14ac:dyDescent="0.3">
      <c r="A34" s="553"/>
      <c r="B34" s="16" t="s">
        <v>5</v>
      </c>
      <c r="C34" s="11" t="s">
        <v>888</v>
      </c>
      <c r="D34" s="34">
        <v>0.35099999999999998</v>
      </c>
      <c r="E34" s="16" t="s">
        <v>3</v>
      </c>
      <c r="F34" s="398"/>
    </row>
    <row r="35" spans="1:7" s="15" customFormat="1" x14ac:dyDescent="0.3">
      <c r="A35" s="553"/>
      <c r="B35" s="16" t="s">
        <v>5</v>
      </c>
      <c r="C35" s="15" t="s">
        <v>25</v>
      </c>
      <c r="D35" s="19">
        <v>0.218</v>
      </c>
      <c r="E35" s="16" t="s">
        <v>3</v>
      </c>
    </row>
    <row r="36" spans="1:7" s="15" customFormat="1" x14ac:dyDescent="0.3">
      <c r="A36" s="553"/>
      <c r="B36" s="16" t="s">
        <v>5</v>
      </c>
      <c r="C36" s="15" t="s">
        <v>24</v>
      </c>
      <c r="D36" s="19">
        <v>1.44E-2</v>
      </c>
      <c r="E36" s="16" t="s">
        <v>3</v>
      </c>
    </row>
    <row r="37" spans="1:7" s="15" customFormat="1" x14ac:dyDescent="0.3">
      <c r="A37" s="553"/>
      <c r="B37" s="16" t="s">
        <v>5</v>
      </c>
      <c r="C37" s="15" t="s">
        <v>26</v>
      </c>
      <c r="D37" s="19">
        <v>2.6200000000000001E-2</v>
      </c>
      <c r="E37" s="16" t="s">
        <v>3</v>
      </c>
    </row>
    <row r="38" spans="1:7" s="15" customFormat="1" x14ac:dyDescent="0.3">
      <c r="A38" s="553"/>
      <c r="B38" s="16" t="s">
        <v>5</v>
      </c>
      <c r="C38" s="15" t="s">
        <v>27</v>
      </c>
      <c r="D38" s="19">
        <v>0.29099999999999998</v>
      </c>
      <c r="E38" s="16" t="s">
        <v>3</v>
      </c>
    </row>
    <row r="39" spans="1:7" s="15" customFormat="1" x14ac:dyDescent="0.3">
      <c r="A39" s="553"/>
      <c r="B39" s="16" t="s">
        <v>5</v>
      </c>
      <c r="C39" s="15" t="s">
        <v>28</v>
      </c>
      <c r="D39" s="19">
        <v>0.192</v>
      </c>
      <c r="E39" s="16" t="s">
        <v>3</v>
      </c>
      <c r="G39" s="396"/>
    </row>
    <row r="40" spans="1:7" s="15" customFormat="1" x14ac:dyDescent="0.3">
      <c r="A40" s="553"/>
      <c r="B40" s="16" t="s">
        <v>5</v>
      </c>
      <c r="C40" s="15" t="s">
        <v>16</v>
      </c>
      <c r="D40" s="19">
        <v>4.0000000000000001E-10</v>
      </c>
      <c r="E40" s="16" t="s">
        <v>22</v>
      </c>
    </row>
    <row r="41" spans="1:7" s="15" customFormat="1" x14ac:dyDescent="0.3">
      <c r="A41" s="553"/>
      <c r="B41" s="16" t="s">
        <v>5</v>
      </c>
      <c r="C41" s="15" t="s">
        <v>19</v>
      </c>
      <c r="D41" s="19">
        <v>2E-3</v>
      </c>
      <c r="E41" s="16" t="s">
        <v>4</v>
      </c>
    </row>
    <row r="42" spans="1:7" s="15" customFormat="1" ht="14.55" customHeight="1" x14ac:dyDescent="0.3">
      <c r="A42" s="553"/>
      <c r="B42" s="16" t="s">
        <v>5</v>
      </c>
      <c r="C42" s="15" t="s">
        <v>20</v>
      </c>
      <c r="D42" s="19">
        <v>0.193</v>
      </c>
      <c r="E42" s="16" t="s">
        <v>21</v>
      </c>
      <c r="G42" s="396"/>
    </row>
    <row r="43" spans="1:7" s="15" customFormat="1" ht="14.55" customHeight="1" x14ac:dyDescent="0.3">
      <c r="A43" s="553"/>
      <c r="B43" s="16" t="s">
        <v>5</v>
      </c>
      <c r="C43" s="15" t="s">
        <v>29</v>
      </c>
      <c r="D43" s="19">
        <v>-5.3900000000000003E-2</v>
      </c>
      <c r="E43" s="16" t="s">
        <v>3</v>
      </c>
    </row>
    <row r="44" spans="1:7" s="55" customFormat="1" x14ac:dyDescent="0.3">
      <c r="A44" s="558"/>
      <c r="B44" s="54" t="s">
        <v>6</v>
      </c>
      <c r="C44" s="55" t="s">
        <v>23</v>
      </c>
      <c r="D44" s="88">
        <v>1.44E-2</v>
      </c>
      <c r="E44" s="54" t="s">
        <v>3</v>
      </c>
    </row>
    <row r="45" spans="1:7" s="42" customFormat="1" x14ac:dyDescent="0.3">
      <c r="A45" s="552" t="s">
        <v>1053</v>
      </c>
      <c r="B45" s="50" t="s">
        <v>7</v>
      </c>
      <c r="C45" s="50" t="s">
        <v>385</v>
      </c>
      <c r="D45" s="51">
        <v>1</v>
      </c>
      <c r="E45" s="42" t="s">
        <v>3</v>
      </c>
    </row>
    <row r="46" spans="1:7" s="15" customFormat="1" x14ac:dyDescent="0.3">
      <c r="A46" s="553"/>
      <c r="B46" s="16" t="s">
        <v>5</v>
      </c>
      <c r="C46" s="11" t="s">
        <v>890</v>
      </c>
      <c r="D46" s="34">
        <v>0.35099999999999998</v>
      </c>
      <c r="E46" s="16" t="s">
        <v>3</v>
      </c>
      <c r="F46" s="398"/>
    </row>
    <row r="47" spans="1:7" s="15" customFormat="1" x14ac:dyDescent="0.3">
      <c r="A47" s="553"/>
      <c r="B47" s="16" t="s">
        <v>5</v>
      </c>
      <c r="C47" s="15" t="s">
        <v>25</v>
      </c>
      <c r="D47" s="19">
        <v>0.218</v>
      </c>
      <c r="E47" s="16" t="s">
        <v>3</v>
      </c>
    </row>
    <row r="48" spans="1:7" s="15" customFormat="1" x14ac:dyDescent="0.3">
      <c r="A48" s="553"/>
      <c r="B48" s="16" t="s">
        <v>5</v>
      </c>
      <c r="C48" s="15" t="s">
        <v>24</v>
      </c>
      <c r="D48" s="19">
        <v>1.44E-2</v>
      </c>
      <c r="E48" s="16" t="s">
        <v>3</v>
      </c>
    </row>
    <row r="49" spans="1:12" s="15" customFormat="1" x14ac:dyDescent="0.3">
      <c r="A49" s="553"/>
      <c r="B49" s="16" t="s">
        <v>5</v>
      </c>
      <c r="C49" s="15" t="s">
        <v>26</v>
      </c>
      <c r="D49" s="19">
        <v>2.6200000000000001E-2</v>
      </c>
      <c r="E49" s="16" t="s">
        <v>3</v>
      </c>
    </row>
    <row r="50" spans="1:12" s="15" customFormat="1" x14ac:dyDescent="0.3">
      <c r="A50" s="553"/>
      <c r="B50" s="16" t="s">
        <v>5</v>
      </c>
      <c r="C50" s="15" t="s">
        <v>27</v>
      </c>
      <c r="D50" s="19">
        <v>0.29099999999999998</v>
      </c>
      <c r="E50" s="16" t="s">
        <v>3</v>
      </c>
    </row>
    <row r="51" spans="1:12" s="15" customFormat="1" x14ac:dyDescent="0.3">
      <c r="A51" s="553"/>
      <c r="B51" s="16" t="s">
        <v>5</v>
      </c>
      <c r="C51" s="15" t="s">
        <v>28</v>
      </c>
      <c r="D51" s="19">
        <v>0.192</v>
      </c>
      <c r="E51" s="16" t="s">
        <v>3</v>
      </c>
      <c r="G51" s="396"/>
    </row>
    <row r="52" spans="1:12" s="15" customFormat="1" x14ac:dyDescent="0.3">
      <c r="A52" s="553"/>
      <c r="B52" s="16" t="s">
        <v>5</v>
      </c>
      <c r="C52" s="15" t="s">
        <v>16</v>
      </c>
      <c r="D52" s="19">
        <v>4.0000000000000001E-10</v>
      </c>
      <c r="E52" s="16" t="s">
        <v>22</v>
      </c>
    </row>
    <row r="53" spans="1:12" s="15" customFormat="1" x14ac:dyDescent="0.3">
      <c r="A53" s="553"/>
      <c r="B53" s="16" t="s">
        <v>5</v>
      </c>
      <c r="C53" s="15" t="s">
        <v>19</v>
      </c>
      <c r="D53" s="19">
        <v>2E-3</v>
      </c>
      <c r="E53" s="16" t="s">
        <v>4</v>
      </c>
    </row>
    <row r="54" spans="1:12" s="15" customFormat="1" ht="14.55" customHeight="1" x14ac:dyDescent="0.3">
      <c r="A54" s="553"/>
      <c r="B54" s="16" t="s">
        <v>5</v>
      </c>
      <c r="C54" s="15" t="s">
        <v>20</v>
      </c>
      <c r="D54" s="19">
        <v>0.193</v>
      </c>
      <c r="E54" s="16" t="s">
        <v>21</v>
      </c>
      <c r="G54" s="396"/>
    </row>
    <row r="55" spans="1:12" s="15" customFormat="1" ht="14.55" customHeight="1" x14ac:dyDescent="0.3">
      <c r="A55" s="553"/>
      <c r="B55" s="16" t="s">
        <v>5</v>
      </c>
      <c r="C55" s="15" t="s">
        <v>29</v>
      </c>
      <c r="D55" s="19">
        <v>-5.3900000000000003E-2</v>
      </c>
      <c r="E55" s="16" t="s">
        <v>3</v>
      </c>
    </row>
    <row r="56" spans="1:12" s="55" customFormat="1" x14ac:dyDescent="0.3">
      <c r="A56" s="558"/>
      <c r="B56" s="54" t="s">
        <v>6</v>
      </c>
      <c r="C56" s="55" t="s">
        <v>23</v>
      </c>
      <c r="D56" s="88">
        <v>1.44E-2</v>
      </c>
      <c r="E56" s="54" t="s">
        <v>3</v>
      </c>
    </row>
    <row r="57" spans="1:12" ht="14.55" customHeight="1" x14ac:dyDescent="0.3">
      <c r="A57" s="554" t="s">
        <v>1054</v>
      </c>
      <c r="B57" s="50" t="s">
        <v>5</v>
      </c>
      <c r="C57" s="50" t="s">
        <v>762</v>
      </c>
      <c r="D57" s="440">
        <v>1</v>
      </c>
      <c r="E57" s="42" t="s">
        <v>3</v>
      </c>
      <c r="F57" s="50"/>
      <c r="G57" s="490"/>
      <c r="L57" s="50"/>
    </row>
    <row r="58" spans="1:12" x14ac:dyDescent="0.3">
      <c r="A58" s="555"/>
      <c r="B58" s="16" t="s">
        <v>5</v>
      </c>
      <c r="C58" s="15" t="s">
        <v>595</v>
      </c>
      <c r="D58" s="91">
        <v>1</v>
      </c>
      <c r="E58" s="16" t="s">
        <v>3</v>
      </c>
      <c r="F58" s="16"/>
      <c r="G58" s="491"/>
      <c r="L58" s="491"/>
    </row>
    <row r="59" spans="1:12" x14ac:dyDescent="0.3">
      <c r="A59" s="555"/>
      <c r="B59" s="16" t="s">
        <v>5</v>
      </c>
      <c r="C59" s="167" t="s">
        <v>274</v>
      </c>
      <c r="D59" s="276">
        <v>1</v>
      </c>
      <c r="E59" s="121" t="s">
        <v>3</v>
      </c>
      <c r="F59" s="121"/>
      <c r="G59" s="491"/>
      <c r="L59" s="491"/>
    </row>
    <row r="60" spans="1:12" x14ac:dyDescent="0.3">
      <c r="A60" s="556"/>
      <c r="B60" s="54" t="s">
        <v>5</v>
      </c>
      <c r="C60" s="89" t="s">
        <v>596</v>
      </c>
      <c r="D60" s="262">
        <v>7.4000000000000003E-10</v>
      </c>
      <c r="E60" s="73" t="s">
        <v>22</v>
      </c>
      <c r="F60" s="89"/>
      <c r="G60" s="492"/>
      <c r="L60" s="89"/>
    </row>
    <row r="61" spans="1:12" s="42" customFormat="1" x14ac:dyDescent="0.3">
      <c r="A61" s="554" t="s">
        <v>892</v>
      </c>
      <c r="B61" s="50" t="s">
        <v>7</v>
      </c>
      <c r="C61" s="50" t="s">
        <v>762</v>
      </c>
      <c r="D61" s="51">
        <v>1</v>
      </c>
      <c r="E61" s="42" t="s">
        <v>3</v>
      </c>
    </row>
    <row r="62" spans="1:12" s="15" customFormat="1" x14ac:dyDescent="0.3">
      <c r="A62" s="555"/>
      <c r="B62" s="16" t="s">
        <v>5</v>
      </c>
      <c r="C62" s="15" t="s">
        <v>643</v>
      </c>
      <c r="D62" s="34">
        <v>1</v>
      </c>
      <c r="E62" s="16" t="s">
        <v>3</v>
      </c>
      <c r="F62" s="399"/>
    </row>
    <row r="63" spans="1:12" s="167" customFormat="1" x14ac:dyDescent="0.3">
      <c r="A63" s="555"/>
      <c r="B63" s="16" t="s">
        <v>5</v>
      </c>
      <c r="C63" s="11" t="s">
        <v>888</v>
      </c>
      <c r="D63" s="197">
        <v>1</v>
      </c>
      <c r="E63" s="121" t="s">
        <v>3</v>
      </c>
      <c r="F63" s="399"/>
    </row>
    <row r="64" spans="1:12" s="73" customFormat="1" x14ac:dyDescent="0.3">
      <c r="A64" s="556"/>
      <c r="B64" s="54" t="s">
        <v>5</v>
      </c>
      <c r="C64" s="73" t="s">
        <v>596</v>
      </c>
      <c r="D64" s="148">
        <v>7.4000000000000003E-10</v>
      </c>
      <c r="E64" s="106" t="s">
        <v>22</v>
      </c>
    </row>
    <row r="65" spans="1:6" s="42" customFormat="1" x14ac:dyDescent="0.3">
      <c r="A65" s="554" t="s">
        <v>891</v>
      </c>
      <c r="B65" s="50" t="s">
        <v>7</v>
      </c>
      <c r="C65" s="50" t="s">
        <v>762</v>
      </c>
      <c r="D65" s="51">
        <v>1</v>
      </c>
      <c r="E65" s="42" t="s">
        <v>3</v>
      </c>
    </row>
    <row r="66" spans="1:6" s="15" customFormat="1" x14ac:dyDescent="0.3">
      <c r="A66" s="555"/>
      <c r="B66" s="16" t="s">
        <v>5</v>
      </c>
      <c r="C66" s="11" t="s">
        <v>890</v>
      </c>
      <c r="D66" s="34">
        <v>1</v>
      </c>
      <c r="E66" s="16" t="s">
        <v>3</v>
      </c>
      <c r="F66" s="399"/>
    </row>
    <row r="67" spans="1:6" s="73" customFormat="1" x14ac:dyDescent="0.3">
      <c r="A67" s="556"/>
      <c r="B67" s="54" t="s">
        <v>5</v>
      </c>
      <c r="C67" s="73" t="s">
        <v>596</v>
      </c>
      <c r="D67" s="148">
        <v>7.4000000000000003E-10</v>
      </c>
      <c r="E67" s="106" t="s">
        <v>22</v>
      </c>
    </row>
    <row r="68" spans="1:6" s="42" customFormat="1" x14ac:dyDescent="0.3">
      <c r="A68" s="552" t="s">
        <v>894</v>
      </c>
      <c r="B68" s="50" t="s">
        <v>155</v>
      </c>
      <c r="C68" s="50" t="s">
        <v>48</v>
      </c>
      <c r="D68" s="51">
        <v>1</v>
      </c>
      <c r="E68" s="42" t="s">
        <v>3</v>
      </c>
      <c r="F68" s="42" t="s">
        <v>310</v>
      </c>
    </row>
    <row r="69" spans="1:6" s="15" customFormat="1" x14ac:dyDescent="0.3">
      <c r="A69" s="553"/>
      <c r="B69" s="16" t="s">
        <v>5</v>
      </c>
      <c r="C69" s="16" t="s">
        <v>158</v>
      </c>
      <c r="D69" s="150">
        <v>0.66988503390901777</v>
      </c>
      <c r="F69" s="15" t="s">
        <v>432</v>
      </c>
    </row>
    <row r="70" spans="1:6" s="15" customFormat="1" ht="15" x14ac:dyDescent="0.35">
      <c r="A70" s="553"/>
      <c r="B70" s="16" t="s">
        <v>5</v>
      </c>
      <c r="C70" s="16" t="s">
        <v>159</v>
      </c>
      <c r="D70" s="34">
        <v>2.6000000000000002E-2</v>
      </c>
      <c r="E70" s="15" t="s">
        <v>3</v>
      </c>
      <c r="F70" s="400" t="s">
        <v>168</v>
      </c>
    </row>
    <row r="71" spans="1:6" s="15" customFormat="1" ht="15" x14ac:dyDescent="0.3">
      <c r="A71" s="553"/>
      <c r="B71" s="16" t="s">
        <v>5</v>
      </c>
      <c r="C71" s="16" t="s">
        <v>16</v>
      </c>
      <c r="D71" s="34">
        <v>4.0000000000000001E-10</v>
      </c>
      <c r="E71" s="15" t="s">
        <v>22</v>
      </c>
      <c r="F71" s="35" t="s">
        <v>180</v>
      </c>
    </row>
    <row r="72" spans="1:6" s="15" customFormat="1" ht="15" x14ac:dyDescent="0.35">
      <c r="A72" s="553"/>
      <c r="B72" s="16" t="s">
        <v>5</v>
      </c>
      <c r="C72" s="16" t="s">
        <v>19</v>
      </c>
      <c r="D72" s="34">
        <v>0.41599999999999998</v>
      </c>
      <c r="E72" s="15" t="s">
        <v>4</v>
      </c>
      <c r="F72" s="400" t="s">
        <v>166</v>
      </c>
    </row>
    <row r="73" spans="1:6" s="15" customFormat="1" ht="15" x14ac:dyDescent="0.35">
      <c r="A73" s="553"/>
      <c r="B73" s="16" t="s">
        <v>5</v>
      </c>
      <c r="C73" s="16" t="s">
        <v>20</v>
      </c>
      <c r="D73" s="34">
        <v>2.3499999999999996</v>
      </c>
      <c r="E73" s="15" t="s">
        <v>21</v>
      </c>
      <c r="F73" s="400" t="s">
        <v>167</v>
      </c>
    </row>
    <row r="74" spans="1:6" s="15" customFormat="1" ht="15" x14ac:dyDescent="0.35">
      <c r="A74" s="553"/>
      <c r="B74" s="16" t="s">
        <v>5</v>
      </c>
      <c r="C74" s="16" t="s">
        <v>157</v>
      </c>
      <c r="D74" s="34">
        <v>1.9E-2</v>
      </c>
      <c r="E74" s="15" t="s">
        <v>3</v>
      </c>
      <c r="F74" s="400" t="s">
        <v>169</v>
      </c>
    </row>
    <row r="75" spans="1:6" s="15" customFormat="1" ht="15" x14ac:dyDescent="0.35">
      <c r="A75" s="553"/>
      <c r="B75" s="16" t="s">
        <v>36</v>
      </c>
      <c r="C75" s="16" t="s">
        <v>161</v>
      </c>
      <c r="D75" s="34">
        <v>1.6399999999999998E-2</v>
      </c>
      <c r="E75" s="15" t="s">
        <v>55</v>
      </c>
      <c r="F75" s="400" t="s">
        <v>170</v>
      </c>
    </row>
    <row r="76" spans="1:6" s="15" customFormat="1" ht="15" x14ac:dyDescent="0.35">
      <c r="A76" s="553"/>
      <c r="B76" s="16" t="s">
        <v>36</v>
      </c>
      <c r="C76" s="16" t="s">
        <v>162</v>
      </c>
      <c r="D76" s="34">
        <v>8.5999999999999998E-4</v>
      </c>
      <c r="E76" s="15" t="s">
        <v>55</v>
      </c>
      <c r="F76" s="400" t="s">
        <v>171</v>
      </c>
    </row>
    <row r="77" spans="1:6" s="15" customFormat="1" ht="15" x14ac:dyDescent="0.35">
      <c r="A77" s="553"/>
      <c r="B77" s="16" t="s">
        <v>36</v>
      </c>
      <c r="C77" s="16" t="s">
        <v>160</v>
      </c>
      <c r="D77" s="34">
        <v>8.3000000000000001E-4</v>
      </c>
      <c r="E77" s="15" t="s">
        <v>55</v>
      </c>
      <c r="F77" s="400" t="s">
        <v>171</v>
      </c>
    </row>
    <row r="78" spans="1:6" s="15" customFormat="1" ht="15" x14ac:dyDescent="0.3">
      <c r="A78" s="553"/>
      <c r="B78" s="16" t="s">
        <v>164</v>
      </c>
      <c r="C78" s="16" t="s">
        <v>163</v>
      </c>
      <c r="D78" s="34">
        <v>1.9E-2</v>
      </c>
      <c r="E78" s="15" t="s">
        <v>3</v>
      </c>
      <c r="F78" s="35" t="s">
        <v>181</v>
      </c>
    </row>
    <row r="79" spans="1:6" s="15" customFormat="1" ht="15" x14ac:dyDescent="0.35">
      <c r="A79" s="553"/>
      <c r="B79" s="16" t="s">
        <v>164</v>
      </c>
      <c r="C79" s="16" t="s">
        <v>32</v>
      </c>
      <c r="D79" s="34">
        <v>1.4E-3</v>
      </c>
      <c r="E79" s="15" t="s">
        <v>55</v>
      </c>
      <c r="F79" s="400" t="s">
        <v>172</v>
      </c>
    </row>
    <row r="80" spans="1:6" s="15" customFormat="1" x14ac:dyDescent="0.3">
      <c r="A80" s="553"/>
      <c r="B80" s="16" t="s">
        <v>165</v>
      </c>
      <c r="C80" s="16" t="s">
        <v>179</v>
      </c>
      <c r="D80" s="352">
        <v>2.1070151304280957E-3</v>
      </c>
      <c r="F80" s="28" t="s">
        <v>897</v>
      </c>
    </row>
    <row r="81" spans="1:6" s="15" customFormat="1" x14ac:dyDescent="0.3">
      <c r="A81" s="553"/>
      <c r="B81" s="16" t="s">
        <v>165</v>
      </c>
      <c r="C81" s="16" t="s">
        <v>250</v>
      </c>
      <c r="D81" s="353">
        <v>3.4545031157815573E-3</v>
      </c>
      <c r="F81" s="28" t="s">
        <v>898</v>
      </c>
    </row>
    <row r="82" spans="1:6" s="15" customFormat="1" ht="15" x14ac:dyDescent="0.35">
      <c r="A82" s="553"/>
      <c r="B82" s="16" t="s">
        <v>165</v>
      </c>
      <c r="C82" s="16" t="s">
        <v>32</v>
      </c>
      <c r="D82" s="34">
        <v>1.67E-2</v>
      </c>
      <c r="E82" s="15" t="s">
        <v>55</v>
      </c>
      <c r="F82" s="400" t="s">
        <v>173</v>
      </c>
    </row>
    <row r="83" spans="1:6" s="55" customFormat="1" ht="15" x14ac:dyDescent="0.35">
      <c r="A83" s="558"/>
      <c r="B83" s="54" t="s">
        <v>174</v>
      </c>
      <c r="C83" s="54" t="s">
        <v>54</v>
      </c>
      <c r="D83" s="134">
        <v>2.7E-6</v>
      </c>
      <c r="E83" s="55" t="s">
        <v>55</v>
      </c>
      <c r="F83" s="401" t="s">
        <v>182</v>
      </c>
    </row>
    <row r="84" spans="1:6" s="15" customFormat="1" x14ac:dyDescent="0.3">
      <c r="A84" s="50"/>
      <c r="B84" s="16"/>
      <c r="C84" s="16"/>
      <c r="D84" s="34"/>
    </row>
    <row r="89" spans="1:6" ht="43.5" customHeight="1" x14ac:dyDescent="0.3"/>
    <row r="114" ht="43.5" customHeight="1" x14ac:dyDescent="0.3"/>
    <row r="121" ht="87" customHeight="1" x14ac:dyDescent="0.3"/>
  </sheetData>
  <mergeCells count="10">
    <mergeCell ref="A68:A83"/>
    <mergeCell ref="A65:A67"/>
    <mergeCell ref="A61:A64"/>
    <mergeCell ref="A4:A17"/>
    <mergeCell ref="F5:F6"/>
    <mergeCell ref="A18:A31"/>
    <mergeCell ref="F19:F20"/>
    <mergeCell ref="A32:A44"/>
    <mergeCell ref="A45:A56"/>
    <mergeCell ref="A57:A60"/>
  </mergeCells>
  <pageMargins left="0.7" right="0.7" top="0.75" bottom="0.75" header="0.3" footer="0.3"/>
  <pageSetup paperSize="9" orientation="portrait" r:id="rId1"/>
  <ignoredErrors>
    <ignoredError sqref="D7" formulaRange="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Q83"/>
  <sheetViews>
    <sheetView zoomScale="70" zoomScaleNormal="70" workbookViewId="0">
      <selection activeCell="D8" sqref="D8:D23"/>
    </sheetView>
  </sheetViews>
  <sheetFormatPr defaultRowHeight="14.4" x14ac:dyDescent="0.3"/>
  <cols>
    <col min="1" max="1" width="35.5546875" bestFit="1" customWidth="1"/>
    <col min="2" max="2" width="15.6640625" customWidth="1"/>
    <col min="3" max="17" width="20.77734375" customWidth="1"/>
  </cols>
  <sheetData>
    <row r="1" spans="1:17" x14ac:dyDescent="0.3">
      <c r="A1" s="225" t="s">
        <v>503</v>
      </c>
      <c r="B1" s="225" t="s">
        <v>1180</v>
      </c>
      <c r="C1" s="225"/>
    </row>
    <row r="2" spans="1:17" x14ac:dyDescent="0.3">
      <c r="A2" t="s">
        <v>389</v>
      </c>
      <c r="B2" t="s">
        <v>1023</v>
      </c>
    </row>
    <row r="4" spans="1:17" s="225" customFormat="1" x14ac:dyDescent="0.3">
      <c r="M4"/>
      <c r="N4"/>
      <c r="O4"/>
      <c r="P4"/>
      <c r="Q4"/>
    </row>
    <row r="6" spans="1:17" ht="16.2" x14ac:dyDescent="0.3">
      <c r="C6" s="580" t="s">
        <v>807</v>
      </c>
      <c r="D6" s="581"/>
      <c r="E6" s="581"/>
      <c r="F6" s="354"/>
      <c r="G6" s="355"/>
      <c r="H6" s="580" t="s">
        <v>808</v>
      </c>
      <c r="I6" s="581"/>
      <c r="J6" s="581"/>
      <c r="K6" s="354"/>
      <c r="L6" s="355"/>
    </row>
    <row r="7" spans="1:17" ht="28.8" x14ac:dyDescent="0.3">
      <c r="A7" t="s">
        <v>395</v>
      </c>
      <c r="B7" t="s">
        <v>396</v>
      </c>
      <c r="C7" s="356" t="s">
        <v>61</v>
      </c>
      <c r="D7" s="357" t="s">
        <v>794</v>
      </c>
      <c r="E7" s="357" t="s">
        <v>566</v>
      </c>
      <c r="F7" s="358" t="s">
        <v>795</v>
      </c>
      <c r="G7" s="359" t="s">
        <v>796</v>
      </c>
      <c r="H7" s="356" t="s">
        <v>61</v>
      </c>
      <c r="I7" s="357" t="s">
        <v>794</v>
      </c>
      <c r="J7" s="357" t="s">
        <v>566</v>
      </c>
      <c r="K7" s="358" t="s">
        <v>795</v>
      </c>
      <c r="L7" s="359" t="s">
        <v>796</v>
      </c>
    </row>
    <row r="8" spans="1:17" x14ac:dyDescent="0.3">
      <c r="A8" t="s">
        <v>397</v>
      </c>
      <c r="B8" t="s">
        <v>398</v>
      </c>
      <c r="C8" s="9">
        <v>16.237819999999999</v>
      </c>
      <c r="D8" s="9">
        <v>17.404976000000001</v>
      </c>
      <c r="E8" s="9">
        <v>17.925571000000001</v>
      </c>
      <c r="F8" s="361">
        <f t="shared" ref="F8:F16" si="0">(D8-C8)/C8</f>
        <v>7.1878860585965487E-2</v>
      </c>
      <c r="G8" s="362">
        <f t="shared" ref="G8:G23" si="1">(E8-C8)/C8</f>
        <v>0.10393950665791359</v>
      </c>
      <c r="H8" s="360">
        <f>C8*C$38</f>
        <v>113.55118881118881</v>
      </c>
      <c r="I8" s="10">
        <f>D8*D$38</f>
        <v>116.65533512064344</v>
      </c>
      <c r="J8" s="10">
        <f>E8*E$38</f>
        <v>113.02377679697354</v>
      </c>
      <c r="K8" s="361">
        <f>(I8-H8)/H8</f>
        <v>2.7336977639363703E-2</v>
      </c>
      <c r="L8" s="362">
        <f>(J8-H8)/H8</f>
        <v>-4.6447071117172115E-3</v>
      </c>
    </row>
    <row r="9" spans="1:17" x14ac:dyDescent="0.3">
      <c r="A9" t="s">
        <v>399</v>
      </c>
      <c r="B9" t="s">
        <v>400</v>
      </c>
      <c r="C9" s="9">
        <v>1.2524025E-6</v>
      </c>
      <c r="D9" s="9">
        <v>1.3229894999999999E-6</v>
      </c>
      <c r="E9" s="9">
        <v>1.3655272000000001E-6</v>
      </c>
      <c r="F9" s="361">
        <f t="shared" si="0"/>
        <v>5.6361273632079031E-2</v>
      </c>
      <c r="G9" s="362">
        <f t="shared" si="1"/>
        <v>9.0326153133677117E-2</v>
      </c>
      <c r="H9" s="360">
        <f>C9*C$38</f>
        <v>8.7580594405594419E-6</v>
      </c>
      <c r="I9" s="10">
        <f>D9*D$38</f>
        <v>8.8672218498659518E-6</v>
      </c>
      <c r="J9" s="10">
        <f t="shared" ref="J9" si="2">E9*E$38</f>
        <v>8.6098814627994968E-6</v>
      </c>
      <c r="K9" s="361">
        <f t="shared" ref="K9:K23" si="3">(I9-H9)/H9</f>
        <v>1.2464223387314318E-2</v>
      </c>
      <c r="L9" s="362">
        <f t="shared" ref="L9:L23" si="4">(J9-H9)/H9</f>
        <v>-1.6919042256520675E-2</v>
      </c>
    </row>
    <row r="10" spans="1:17" x14ac:dyDescent="0.3">
      <c r="A10" t="s">
        <v>1024</v>
      </c>
      <c r="B10" t="s">
        <v>401</v>
      </c>
      <c r="C10" s="9">
        <v>0.41200434000000002</v>
      </c>
      <c r="D10" s="9">
        <v>0.48232908000000002</v>
      </c>
      <c r="E10" s="9">
        <v>0.49808227999999999</v>
      </c>
      <c r="F10" s="361">
        <f t="shared" si="0"/>
        <v>0.17068931846688798</v>
      </c>
      <c r="G10" s="362">
        <f t="shared" si="1"/>
        <v>0.20892483802476439</v>
      </c>
      <c r="H10" s="360">
        <f t="shared" ref="H10:H23" si="5">C10*C$38</f>
        <v>2.881149230769231</v>
      </c>
      <c r="I10" s="10">
        <f t="shared" ref="I10:I23" si="6">D10*D$38</f>
        <v>3.2327686327077751</v>
      </c>
      <c r="J10" s="10">
        <f t="shared" ref="J10:J23" si="7">E10*E$38</f>
        <v>3.1404935687263555</v>
      </c>
      <c r="K10" s="361">
        <f t="shared" si="3"/>
        <v>0.1220413709166554</v>
      </c>
      <c r="L10" s="362">
        <f t="shared" si="4"/>
        <v>9.0014198219049837E-2</v>
      </c>
    </row>
    <row r="11" spans="1:17" x14ac:dyDescent="0.3">
      <c r="A11" t="s">
        <v>1025</v>
      </c>
      <c r="B11" t="s">
        <v>402</v>
      </c>
      <c r="C11" s="9">
        <v>8.9289588000000003E-2</v>
      </c>
      <c r="D11" s="9">
        <v>0.10852146</v>
      </c>
      <c r="E11" s="9">
        <v>0.11164934999999999</v>
      </c>
      <c r="F11" s="361">
        <f t="shared" si="0"/>
        <v>0.21538762167880085</v>
      </c>
      <c r="G11" s="362">
        <f t="shared" si="1"/>
        <v>0.25041846984443461</v>
      </c>
      <c r="H11" s="360">
        <f t="shared" si="5"/>
        <v>0.62440271328671337</v>
      </c>
      <c r="I11" s="10">
        <f t="shared" si="6"/>
        <v>0.7273556300268097</v>
      </c>
      <c r="J11" s="10">
        <f t="shared" si="7"/>
        <v>0.70396815889029007</v>
      </c>
      <c r="K11" s="361">
        <f t="shared" si="3"/>
        <v>0.16488223793611606</v>
      </c>
      <c r="L11" s="362">
        <f t="shared" si="4"/>
        <v>0.12742648920399841</v>
      </c>
    </row>
    <row r="12" spans="1:17" x14ac:dyDescent="0.3">
      <c r="A12" t="s">
        <v>1026</v>
      </c>
      <c r="B12" t="s">
        <v>403</v>
      </c>
      <c r="C12" s="9">
        <v>4.2277412999999997E-6</v>
      </c>
      <c r="D12" s="9">
        <v>2.4751692000000001E-6</v>
      </c>
      <c r="E12" s="9">
        <v>2.9592118999999999E-6</v>
      </c>
      <c r="F12" s="363">
        <f t="shared" si="0"/>
        <v>-0.41454099852325393</v>
      </c>
      <c r="G12" s="364">
        <f t="shared" si="1"/>
        <v>-0.30004896468002901</v>
      </c>
      <c r="H12" s="360">
        <f t="shared" si="5"/>
        <v>2.9564624475524473E-5</v>
      </c>
      <c r="I12" s="10">
        <f t="shared" si="6"/>
        <v>1.6589605898123327E-5</v>
      </c>
      <c r="J12" s="10">
        <f t="shared" si="7"/>
        <v>1.8658334804539724E-5</v>
      </c>
      <c r="K12" s="363">
        <f t="shared" si="3"/>
        <v>-0.43886972378569239</v>
      </c>
      <c r="L12" s="364">
        <f t="shared" si="4"/>
        <v>-0.36889660749838676</v>
      </c>
    </row>
    <row r="13" spans="1:17" x14ac:dyDescent="0.3">
      <c r="A13" t="s">
        <v>1027</v>
      </c>
      <c r="B13" t="s">
        <v>404</v>
      </c>
      <c r="C13" s="9">
        <v>1.2807828E-6</v>
      </c>
      <c r="D13" s="9">
        <v>1.3171346E-6</v>
      </c>
      <c r="E13" s="9">
        <v>1.3614189E-6</v>
      </c>
      <c r="F13" s="363">
        <f t="shared" si="0"/>
        <v>2.838248608585316E-2</v>
      </c>
      <c r="G13" s="364">
        <f t="shared" si="1"/>
        <v>6.2958450097862023E-2</v>
      </c>
      <c r="H13" s="360">
        <f t="shared" si="5"/>
        <v>8.9565230769230779E-6</v>
      </c>
      <c r="I13" s="10">
        <f t="shared" si="6"/>
        <v>8.8279798927613949E-6</v>
      </c>
      <c r="J13" s="10">
        <f t="shared" si="7"/>
        <v>8.5839779319041611E-6</v>
      </c>
      <c r="K13" s="363">
        <f t="shared" si="3"/>
        <v>-1.4351906767580472E-2</v>
      </c>
      <c r="L13" s="364">
        <f t="shared" si="4"/>
        <v>-4.159484007569831E-2</v>
      </c>
    </row>
    <row r="14" spans="1:17" x14ac:dyDescent="0.3">
      <c r="A14" t="s">
        <v>1028</v>
      </c>
      <c r="B14" t="s">
        <v>404</v>
      </c>
      <c r="C14" s="9">
        <v>2.4098294E-8</v>
      </c>
      <c r="D14" s="9">
        <v>2.7096856999999998E-8</v>
      </c>
      <c r="E14" s="9">
        <v>2.8058893999999999E-8</v>
      </c>
      <c r="F14" s="363">
        <f t="shared" si="0"/>
        <v>0.12443050947921869</v>
      </c>
      <c r="G14" s="364">
        <f t="shared" si="1"/>
        <v>0.16435188316650132</v>
      </c>
      <c r="H14" s="360">
        <f t="shared" si="5"/>
        <v>1.6851953846153845E-7</v>
      </c>
      <c r="I14" s="10">
        <f t="shared" si="6"/>
        <v>1.8161432305630025E-7</v>
      </c>
      <c r="J14" s="10">
        <f t="shared" si="7"/>
        <v>1.7691610340479193E-7</v>
      </c>
      <c r="K14" s="363">
        <f t="shared" si="3"/>
        <v>7.7704844876194848E-2</v>
      </c>
      <c r="L14" s="364">
        <f t="shared" si="4"/>
        <v>4.9825468428812754E-2</v>
      </c>
    </row>
    <row r="15" spans="1:17" x14ac:dyDescent="0.3">
      <c r="A15" t="s">
        <v>1029</v>
      </c>
      <c r="B15" t="s">
        <v>405</v>
      </c>
      <c r="C15" s="9">
        <v>0.40241209</v>
      </c>
      <c r="D15" s="9">
        <v>0.64269441000000005</v>
      </c>
      <c r="E15" s="9">
        <v>0.65732860000000004</v>
      </c>
      <c r="F15" s="363">
        <f t="shared" si="0"/>
        <v>0.59710512176709218</v>
      </c>
      <c r="G15" s="364">
        <f t="shared" si="1"/>
        <v>0.63347130052678102</v>
      </c>
      <c r="H15" s="360">
        <f t="shared" si="5"/>
        <v>2.8140705594405597</v>
      </c>
      <c r="I15" s="10">
        <f t="shared" si="6"/>
        <v>4.3076032841823055</v>
      </c>
      <c r="J15" s="10">
        <f t="shared" si="7"/>
        <v>4.1445687263556117</v>
      </c>
      <c r="K15" s="363">
        <f t="shared" si="3"/>
        <v>0.53073748265880782</v>
      </c>
      <c r="L15" s="364">
        <f t="shared" si="4"/>
        <v>0.47280199227824493</v>
      </c>
    </row>
    <row r="16" spans="1:17" x14ac:dyDescent="0.3">
      <c r="A16" t="s">
        <v>1030</v>
      </c>
      <c r="B16" t="s">
        <v>406</v>
      </c>
      <c r="C16" s="9">
        <v>1.500407E-3</v>
      </c>
      <c r="D16" s="9">
        <v>1.6248987999999999E-3</v>
      </c>
      <c r="E16" s="9">
        <v>1.7025784000000001E-3</v>
      </c>
      <c r="F16" s="363">
        <f t="shared" si="0"/>
        <v>8.2972020258503087E-2</v>
      </c>
      <c r="G16" s="364">
        <f t="shared" si="1"/>
        <v>0.1347443726935425</v>
      </c>
      <c r="H16" s="360">
        <f t="shared" si="5"/>
        <v>1.0492356643356644E-2</v>
      </c>
      <c r="I16" s="10">
        <f>D16*D$38</f>
        <v>1.0890742627345844E-2</v>
      </c>
      <c r="J16" s="10">
        <f t="shared" si="7"/>
        <v>1.0735046658259775E-2</v>
      </c>
      <c r="K16" s="363">
        <f t="shared" si="3"/>
        <v>3.7969161507814639E-2</v>
      </c>
      <c r="L16" s="364">
        <f t="shared" si="4"/>
        <v>2.3130172100735164E-2</v>
      </c>
    </row>
    <row r="17" spans="1:12" x14ac:dyDescent="0.3">
      <c r="A17" t="s">
        <v>1031</v>
      </c>
      <c r="B17" t="s">
        <v>407</v>
      </c>
      <c r="C17" s="9">
        <v>2.2903634999999999E-2</v>
      </c>
      <c r="D17" s="9">
        <v>2.4496919999999998E-2</v>
      </c>
      <c r="E17" s="9">
        <v>2.5687486999999998E-2</v>
      </c>
      <c r="F17" s="363" t="s">
        <v>82</v>
      </c>
      <c r="G17" s="364">
        <f t="shared" si="1"/>
        <v>0.12154629603554196</v>
      </c>
      <c r="H17" s="360">
        <f t="shared" si="5"/>
        <v>0.16016527972027972</v>
      </c>
      <c r="I17" s="10">
        <f t="shared" si="6"/>
        <v>0.16418847184986593</v>
      </c>
      <c r="J17" s="10">
        <f t="shared" si="7"/>
        <v>0.16196397856242117</v>
      </c>
      <c r="K17" s="363">
        <f t="shared" si="3"/>
        <v>2.5119002923807872E-2</v>
      </c>
      <c r="L17" s="364">
        <f t="shared" si="4"/>
        <v>1.1230266917291867E-2</v>
      </c>
    </row>
    <row r="18" spans="1:12" x14ac:dyDescent="0.3">
      <c r="A18" t="s">
        <v>1032</v>
      </c>
      <c r="B18" t="s">
        <v>408</v>
      </c>
      <c r="C18" s="9">
        <v>0.30151023999999998</v>
      </c>
      <c r="D18" s="9">
        <v>0.32567003999999999</v>
      </c>
      <c r="E18" s="9">
        <v>0.37577448000000002</v>
      </c>
      <c r="F18" s="363">
        <f t="shared" ref="F18:F23" si="8">(D18-C18)/C18</f>
        <v>8.0129285161260222E-2</v>
      </c>
      <c r="G18" s="364">
        <f t="shared" si="1"/>
        <v>0.24630752176111842</v>
      </c>
      <c r="H18" s="360">
        <f t="shared" si="5"/>
        <v>2.1084632167832167</v>
      </c>
      <c r="I18" s="10">
        <f t="shared" si="6"/>
        <v>2.1827750670241288</v>
      </c>
      <c r="J18" s="10">
        <f>E18*E$38</f>
        <v>2.3693220680958387</v>
      </c>
      <c r="K18" s="363">
        <f t="shared" si="3"/>
        <v>3.5244556153218663E-2</v>
      </c>
      <c r="L18" s="364">
        <f t="shared" si="4"/>
        <v>0.12371989666986086</v>
      </c>
    </row>
    <row r="19" spans="1:12" x14ac:dyDescent="0.3">
      <c r="A19" t="s">
        <v>1033</v>
      </c>
      <c r="B19" t="s">
        <v>409</v>
      </c>
      <c r="C19" s="9">
        <v>1630.5561</v>
      </c>
      <c r="D19" s="9">
        <v>2011.3997999999999</v>
      </c>
      <c r="E19" s="9">
        <v>2075.0758999999998</v>
      </c>
      <c r="F19" s="363">
        <f t="shared" si="8"/>
        <v>0.23356675676476257</v>
      </c>
      <c r="G19" s="364">
        <f t="shared" si="1"/>
        <v>0.27261852566740868</v>
      </c>
      <c r="H19" s="360">
        <f t="shared" si="5"/>
        <v>11402.49020979021</v>
      </c>
      <c r="I19" s="10">
        <f t="shared" si="6"/>
        <v>13481.231903485253</v>
      </c>
      <c r="J19" s="10">
        <f t="shared" si="7"/>
        <v>13083.706809583859</v>
      </c>
      <c r="K19" s="363">
        <f t="shared" si="3"/>
        <v>0.18230593979464499</v>
      </c>
      <c r="L19" s="364">
        <f t="shared" si="4"/>
        <v>0.14744293297881114</v>
      </c>
    </row>
    <row r="20" spans="1:12" x14ac:dyDescent="0.3">
      <c r="A20" t="s">
        <v>410</v>
      </c>
      <c r="B20" t="s">
        <v>411</v>
      </c>
      <c r="C20" s="9">
        <v>88.793527999999995</v>
      </c>
      <c r="D20" s="9">
        <v>98.616213000000002</v>
      </c>
      <c r="E20" s="9">
        <v>103.20368999999999</v>
      </c>
      <c r="F20" s="363">
        <f t="shared" si="8"/>
        <v>0.11062388465970185</v>
      </c>
      <c r="G20" s="364">
        <f t="shared" si="1"/>
        <v>0.16228842714752814</v>
      </c>
      <c r="H20" s="360">
        <f t="shared" si="5"/>
        <v>620.93376223776227</v>
      </c>
      <c r="I20" s="10">
        <f t="shared" si="6"/>
        <v>660.96657506702411</v>
      </c>
      <c r="J20" s="10">
        <f t="shared" si="7"/>
        <v>650.71683480453976</v>
      </c>
      <c r="K20" s="363">
        <f t="shared" si="3"/>
        <v>6.4471953795826695E-2</v>
      </c>
      <c r="L20" s="364">
        <f t="shared" si="4"/>
        <v>4.7964975296951609E-2</v>
      </c>
    </row>
    <row r="21" spans="1:12" x14ac:dyDescent="0.3">
      <c r="A21" t="s">
        <v>1034</v>
      </c>
      <c r="B21" t="s">
        <v>412</v>
      </c>
      <c r="C21" s="9">
        <v>4.6632005000000003</v>
      </c>
      <c r="D21" s="9">
        <v>4.7220592000000003</v>
      </c>
      <c r="E21" s="9">
        <v>4.9203748999999997</v>
      </c>
      <c r="F21" s="363">
        <f t="shared" si="8"/>
        <v>1.2621953527411064E-2</v>
      </c>
      <c r="G21" s="364">
        <f t="shared" si="1"/>
        <v>5.5149762486086398E-2</v>
      </c>
      <c r="H21" s="360">
        <f t="shared" si="5"/>
        <v>32.609793706293708</v>
      </c>
      <c r="I21" s="10">
        <f t="shared" si="6"/>
        <v>31.649190348525472</v>
      </c>
      <c r="J21" s="10">
        <f t="shared" si="7"/>
        <v>31.02380138713745</v>
      </c>
      <c r="K21" s="363">
        <f t="shared" si="3"/>
        <v>-2.945751102935798E-2</v>
      </c>
      <c r="L21" s="364">
        <f t="shared" si="4"/>
        <v>-4.8635460053528659E-2</v>
      </c>
    </row>
    <row r="22" spans="1:12" x14ac:dyDescent="0.3">
      <c r="A22" t="s">
        <v>1035</v>
      </c>
      <c r="B22" t="s">
        <v>21</v>
      </c>
      <c r="C22" s="9">
        <v>181.65626</v>
      </c>
      <c r="D22" s="9">
        <v>199.37126000000001</v>
      </c>
      <c r="E22" s="9">
        <v>204.60318000000001</v>
      </c>
      <c r="F22" s="363">
        <f t="shared" si="8"/>
        <v>9.7519347805575224E-2</v>
      </c>
      <c r="G22" s="364">
        <f t="shared" si="1"/>
        <v>0.12632055729871355</v>
      </c>
      <c r="H22" s="360">
        <f t="shared" si="5"/>
        <v>1270.3234965034967</v>
      </c>
      <c r="I22" s="10">
        <f t="shared" si="6"/>
        <v>1336.2684986595175</v>
      </c>
      <c r="J22" s="10">
        <f t="shared" si="7"/>
        <v>1290.0578814627995</v>
      </c>
      <c r="K22" s="363">
        <f t="shared" si="3"/>
        <v>5.1911975443681223E-2</v>
      </c>
      <c r="L22" s="364">
        <f t="shared" si="4"/>
        <v>1.5534928711954667E-2</v>
      </c>
    </row>
    <row r="23" spans="1:12" x14ac:dyDescent="0.3">
      <c r="A23" t="s">
        <v>1036</v>
      </c>
      <c r="B23" t="s">
        <v>413</v>
      </c>
      <c r="C23" s="9">
        <v>2.6896984000000001E-3</v>
      </c>
      <c r="D23" s="9">
        <v>2.7589824999999998E-3</v>
      </c>
      <c r="E23" s="9">
        <v>2.9413187999999999E-3</v>
      </c>
      <c r="F23" s="511">
        <f t="shared" si="8"/>
        <v>2.575905908260933E-2</v>
      </c>
      <c r="G23" s="512">
        <f t="shared" si="1"/>
        <v>9.3549670847854108E-2</v>
      </c>
      <c r="H23" s="365">
        <f t="shared" si="5"/>
        <v>1.8809079720279721E-2</v>
      </c>
      <c r="I23" s="258">
        <f t="shared" si="6"/>
        <v>1.8491839812332437E-2</v>
      </c>
      <c r="J23" s="258">
        <f t="shared" si="7"/>
        <v>1.85455157629256E-2</v>
      </c>
      <c r="K23" s="511">
        <f t="shared" si="3"/>
        <v>-1.6866317367204283E-2</v>
      </c>
      <c r="L23" s="512">
        <f t="shared" si="4"/>
        <v>-1.4012591858492126E-2</v>
      </c>
    </row>
    <row r="24" spans="1:12" hidden="1" x14ac:dyDescent="0.3">
      <c r="A24" t="s">
        <v>1037</v>
      </c>
      <c r="B24" t="s">
        <v>398</v>
      </c>
      <c r="C24">
        <v>16.194569999999999</v>
      </c>
      <c r="D24">
        <v>17.352163999999998</v>
      </c>
      <c r="E24">
        <v>17.870087999999999</v>
      </c>
    </row>
    <row r="25" spans="1:12" hidden="1" x14ac:dyDescent="0.3">
      <c r="A25" t="s">
        <v>1038</v>
      </c>
      <c r="B25" t="s">
        <v>398</v>
      </c>
      <c r="C25">
        <v>5.2042816999999998E-2</v>
      </c>
      <c r="D25">
        <v>5.6831834999999997E-2</v>
      </c>
      <c r="E25">
        <v>5.8574889999999998E-2</v>
      </c>
    </row>
    <row r="26" spans="1:12" hidden="1" x14ac:dyDescent="0.3">
      <c r="A26" t="s">
        <v>1039</v>
      </c>
      <c r="B26" t="s">
        <v>398</v>
      </c>
      <c r="C26">
        <v>2.0356131E-2</v>
      </c>
      <c r="D26">
        <v>2.2228837000000001E-2</v>
      </c>
      <c r="E26">
        <v>2.2692527000000001E-2</v>
      </c>
    </row>
    <row r="27" spans="1:12" hidden="1" x14ac:dyDescent="0.3">
      <c r="A27" t="s">
        <v>1040</v>
      </c>
      <c r="B27" t="s">
        <v>404</v>
      </c>
      <c r="C27" s="9">
        <v>7.5215702999999998E-8</v>
      </c>
      <c r="D27" s="9">
        <v>9.4627799999999995E-8</v>
      </c>
      <c r="E27" s="9">
        <v>9.7111042999999999E-8</v>
      </c>
    </row>
    <row r="28" spans="1:12" hidden="1" x14ac:dyDescent="0.3">
      <c r="A28" t="s">
        <v>1041</v>
      </c>
      <c r="B28" t="s">
        <v>404</v>
      </c>
      <c r="C28" s="9">
        <v>1.4445578E-7</v>
      </c>
      <c r="D28" s="9">
        <v>1.5129583E-7</v>
      </c>
      <c r="E28" s="9">
        <v>1.4216252000000001E-7</v>
      </c>
    </row>
    <row r="29" spans="1:12" hidden="1" x14ac:dyDescent="0.3">
      <c r="A29" t="s">
        <v>1042</v>
      </c>
      <c r="B29" t="s">
        <v>404</v>
      </c>
      <c r="C29" s="9">
        <v>1.0632E-6</v>
      </c>
      <c r="D29" s="9">
        <v>1.0732665E-6</v>
      </c>
      <c r="E29" s="9">
        <v>1.1243491E-6</v>
      </c>
    </row>
    <row r="30" spans="1:12" hidden="1" x14ac:dyDescent="0.3">
      <c r="A30" t="s">
        <v>1043</v>
      </c>
      <c r="B30" t="s">
        <v>404</v>
      </c>
      <c r="C30" s="9">
        <v>4.1397074000000004E-9</v>
      </c>
      <c r="D30" s="9">
        <v>4.3623434999999999E-9</v>
      </c>
      <c r="E30" s="9">
        <v>4.5154760999999998E-9</v>
      </c>
    </row>
    <row r="31" spans="1:12" hidden="1" x14ac:dyDescent="0.3">
      <c r="A31" t="s">
        <v>1044</v>
      </c>
      <c r="B31" t="s">
        <v>404</v>
      </c>
      <c r="C31">
        <v>0</v>
      </c>
      <c r="D31">
        <v>0</v>
      </c>
      <c r="E31">
        <v>0</v>
      </c>
    </row>
    <row r="32" spans="1:12" hidden="1" x14ac:dyDescent="0.3">
      <c r="A32" t="s">
        <v>1045</v>
      </c>
      <c r="B32" t="s">
        <v>404</v>
      </c>
      <c r="C32" s="9">
        <v>2.0013078E-8</v>
      </c>
      <c r="D32" s="9">
        <v>2.2783584E-8</v>
      </c>
      <c r="E32" s="9">
        <v>2.3591620999999999E-8</v>
      </c>
    </row>
    <row r="33" spans="1:5" hidden="1" x14ac:dyDescent="0.3">
      <c r="A33" t="s">
        <v>1046</v>
      </c>
      <c r="B33" t="s">
        <v>409</v>
      </c>
      <c r="C33">
        <v>3.8025288000000002</v>
      </c>
      <c r="D33">
        <v>4.0118748999999996</v>
      </c>
      <c r="E33">
        <v>4.2326414000000003</v>
      </c>
    </row>
    <row r="34" spans="1:5" hidden="1" x14ac:dyDescent="0.3">
      <c r="A34" t="s">
        <v>1047</v>
      </c>
      <c r="B34" t="s">
        <v>409</v>
      </c>
      <c r="C34">
        <v>140.51048</v>
      </c>
      <c r="D34">
        <v>148.07727</v>
      </c>
      <c r="E34">
        <v>155.81938</v>
      </c>
    </row>
    <row r="35" spans="1:5" hidden="1" x14ac:dyDescent="0.3">
      <c r="A35" t="s">
        <v>1048</v>
      </c>
      <c r="B35" t="s">
        <v>409</v>
      </c>
      <c r="C35">
        <v>1483.2737999999999</v>
      </c>
      <c r="D35">
        <v>1855.8018</v>
      </c>
      <c r="E35">
        <v>1912.0205000000001</v>
      </c>
    </row>
    <row r="37" spans="1:5" x14ac:dyDescent="0.3">
      <c r="B37" s="544" t="s">
        <v>127</v>
      </c>
      <c r="C37" s="545">
        <f>parameters!$E$3</f>
        <v>0.14299999999999999</v>
      </c>
      <c r="D37" s="545">
        <f>parameters!$E$6</f>
        <v>0.1492</v>
      </c>
      <c r="E37" s="545">
        <f>parameters!$E$9</f>
        <v>0.15859999999999999</v>
      </c>
    </row>
    <row r="38" spans="1:5" x14ac:dyDescent="0.3">
      <c r="B38" s="544" t="s">
        <v>125</v>
      </c>
      <c r="C38" s="281">
        <f>1/parameters!$E$3</f>
        <v>6.9930069930069934</v>
      </c>
      <c r="D38" s="229">
        <f>1/parameters!$E$6</f>
        <v>6.7024128686327078</v>
      </c>
      <c r="E38" s="229">
        <f>1/parameters!$E$9</f>
        <v>6.3051702395964693</v>
      </c>
    </row>
    <row r="40" spans="1:5" x14ac:dyDescent="0.3">
      <c r="C40" s="513"/>
      <c r="D40" s="513"/>
      <c r="E40" s="513"/>
    </row>
    <row r="41" spans="1:5" x14ac:dyDescent="0.3">
      <c r="E41" s="7"/>
    </row>
    <row r="54" spans="3:7" x14ac:dyDescent="0.3">
      <c r="C54" s="9"/>
      <c r="D54" s="9"/>
      <c r="E54" s="9"/>
    </row>
    <row r="56" spans="3:7" x14ac:dyDescent="0.3">
      <c r="C56" s="9"/>
    </row>
    <row r="57" spans="3:7" x14ac:dyDescent="0.3">
      <c r="C57" s="9"/>
      <c r="G57" s="9"/>
    </row>
    <row r="58" spans="3:7" x14ac:dyDescent="0.3">
      <c r="C58" s="9"/>
      <c r="F58" s="9"/>
      <c r="G58" s="9"/>
    </row>
    <row r="59" spans="3:7" x14ac:dyDescent="0.3">
      <c r="C59" s="9"/>
      <c r="G59" s="9"/>
    </row>
    <row r="60" spans="3:7" x14ac:dyDescent="0.3">
      <c r="C60" s="9"/>
      <c r="D60" s="9"/>
      <c r="E60" s="9"/>
      <c r="G60" s="9"/>
    </row>
    <row r="61" spans="3:7" x14ac:dyDescent="0.3">
      <c r="C61" s="9"/>
      <c r="F61" s="9"/>
      <c r="G61" s="9"/>
    </row>
    <row r="62" spans="3:7" x14ac:dyDescent="0.3">
      <c r="C62" s="9"/>
      <c r="F62" s="9"/>
      <c r="G62" s="9"/>
    </row>
    <row r="63" spans="3:7" x14ac:dyDescent="0.3">
      <c r="C63" s="9"/>
      <c r="D63" s="9"/>
      <c r="E63" s="9"/>
      <c r="F63" s="9"/>
      <c r="G63" s="9"/>
    </row>
    <row r="64" spans="3:7" x14ac:dyDescent="0.3">
      <c r="C64" s="9"/>
      <c r="D64" s="9"/>
      <c r="E64" s="9"/>
    </row>
    <row r="65" spans="3:7" x14ac:dyDescent="0.3">
      <c r="C65" s="9"/>
      <c r="D65" s="9"/>
      <c r="E65" s="9"/>
    </row>
    <row r="66" spans="3:7" x14ac:dyDescent="0.3">
      <c r="C66" s="9"/>
    </row>
    <row r="67" spans="3:7" x14ac:dyDescent="0.3">
      <c r="C67" s="9"/>
    </row>
    <row r="68" spans="3:7" x14ac:dyDescent="0.3">
      <c r="C68" s="9"/>
    </row>
    <row r="69" spans="3:7" x14ac:dyDescent="0.3">
      <c r="C69" s="9"/>
    </row>
    <row r="70" spans="3:7" x14ac:dyDescent="0.3">
      <c r="C70" s="9"/>
    </row>
    <row r="71" spans="3:7" x14ac:dyDescent="0.3">
      <c r="C71" s="9"/>
    </row>
    <row r="72" spans="3:7" x14ac:dyDescent="0.3">
      <c r="C72" s="9"/>
      <c r="G72" s="9"/>
    </row>
    <row r="73" spans="3:7" x14ac:dyDescent="0.3">
      <c r="C73" s="9"/>
      <c r="E73" s="9"/>
    </row>
    <row r="74" spans="3:7" x14ac:dyDescent="0.3">
      <c r="C74" s="9"/>
      <c r="E74" s="9"/>
    </row>
    <row r="75" spans="3:7" x14ac:dyDescent="0.3">
      <c r="C75" s="9"/>
      <c r="E75" s="9"/>
    </row>
    <row r="76" spans="3:7" x14ac:dyDescent="0.3">
      <c r="C76" s="9"/>
      <c r="D76" s="9"/>
      <c r="E76" s="9"/>
    </row>
    <row r="77" spans="3:7" x14ac:dyDescent="0.3">
      <c r="C77" s="9"/>
      <c r="D77" s="9"/>
      <c r="E77" s="9"/>
    </row>
    <row r="78" spans="3:7" x14ac:dyDescent="0.3">
      <c r="C78" s="9"/>
      <c r="D78" s="9"/>
      <c r="E78" s="9"/>
    </row>
    <row r="79" spans="3:7" x14ac:dyDescent="0.3">
      <c r="C79" s="9"/>
      <c r="D79" s="9"/>
      <c r="E79" s="9"/>
    </row>
    <row r="80" spans="3:7" x14ac:dyDescent="0.3">
      <c r="C80" s="9"/>
      <c r="D80" s="9"/>
      <c r="E80" s="9"/>
    </row>
    <row r="81" spans="3:5" x14ac:dyDescent="0.3">
      <c r="C81" s="9"/>
      <c r="D81" s="9"/>
      <c r="E81" s="9"/>
    </row>
    <row r="82" spans="3:5" x14ac:dyDescent="0.3">
      <c r="C82" s="9"/>
    </row>
    <row r="83" spans="3:5" x14ac:dyDescent="0.3">
      <c r="C83" s="9"/>
      <c r="D83" s="9"/>
      <c r="E83" s="9"/>
    </row>
  </sheetData>
  <mergeCells count="2">
    <mergeCell ref="C6:E6"/>
    <mergeCell ref="H6:J6"/>
  </mergeCells>
  <conditionalFormatting sqref="C8:E8">
    <cfRule type="colorScale" priority="5">
      <colorScale>
        <cfvo type="min"/>
        <cfvo type="percentile" val="50"/>
        <cfvo type="max"/>
        <color rgb="FF63BE7B"/>
        <color rgb="FFFFEB84"/>
        <color rgb="FFF8696B"/>
      </colorScale>
    </cfRule>
  </conditionalFormatting>
  <conditionalFormatting sqref="C9:E9">
    <cfRule type="colorScale" priority="4">
      <colorScale>
        <cfvo type="min"/>
        <cfvo type="percentile" val="50"/>
        <cfvo type="max"/>
        <color rgb="FF63BE7B"/>
        <color rgb="FFFFEB84"/>
        <color rgb="FFF8696B"/>
      </colorScale>
    </cfRule>
  </conditionalFormatting>
  <conditionalFormatting sqref="C10:E10">
    <cfRule type="colorScale" priority="3">
      <colorScale>
        <cfvo type="min"/>
        <cfvo type="percentile" val="50"/>
        <cfvo type="max"/>
        <color rgb="FF63BE7B"/>
        <color rgb="FFFFEB84"/>
        <color rgb="FFF8696B"/>
      </colorScale>
    </cfRule>
  </conditionalFormatting>
  <conditionalFormatting sqref="C11:E11">
    <cfRule type="colorScale" priority="83">
      <colorScale>
        <cfvo type="min"/>
        <cfvo type="percentile" val="50"/>
        <cfvo type="max"/>
        <color rgb="FF63BE7B"/>
        <color rgb="FFFFEB84"/>
        <color rgb="FFF8696B"/>
      </colorScale>
    </cfRule>
  </conditionalFormatting>
  <conditionalFormatting sqref="C12:E12">
    <cfRule type="colorScale" priority="2">
      <colorScale>
        <cfvo type="min"/>
        <cfvo type="percentile" val="50"/>
        <cfvo type="max"/>
        <color rgb="FF63BE7B"/>
        <color rgb="FFFFEB84"/>
        <color rgb="FFF8696B"/>
      </colorScale>
    </cfRule>
  </conditionalFormatting>
  <conditionalFormatting sqref="C13:E13">
    <cfRule type="colorScale" priority="81">
      <colorScale>
        <cfvo type="min"/>
        <cfvo type="percentile" val="50"/>
        <cfvo type="max"/>
        <color rgb="FF63BE7B"/>
        <color rgb="FFFFEB84"/>
        <color rgb="FFF8696B"/>
      </colorScale>
    </cfRule>
  </conditionalFormatting>
  <conditionalFormatting sqref="C14:E14">
    <cfRule type="colorScale" priority="80">
      <colorScale>
        <cfvo type="min"/>
        <cfvo type="percentile" val="50"/>
        <cfvo type="max"/>
        <color rgb="FF63BE7B"/>
        <color rgb="FFFFEB84"/>
        <color rgb="FFF8696B"/>
      </colorScale>
    </cfRule>
  </conditionalFormatting>
  <conditionalFormatting sqref="C15:E15">
    <cfRule type="colorScale" priority="79">
      <colorScale>
        <cfvo type="min"/>
        <cfvo type="percentile" val="50"/>
        <cfvo type="max"/>
        <color rgb="FF63BE7B"/>
        <color rgb="FFFFEB84"/>
        <color rgb="FFF8696B"/>
      </colorScale>
    </cfRule>
  </conditionalFormatting>
  <conditionalFormatting sqref="C16:E16">
    <cfRule type="colorScale" priority="78">
      <colorScale>
        <cfvo type="min"/>
        <cfvo type="percentile" val="50"/>
        <cfvo type="max"/>
        <color rgb="FF63BE7B"/>
        <color rgb="FFFFEB84"/>
        <color rgb="FFF8696B"/>
      </colorScale>
    </cfRule>
  </conditionalFormatting>
  <conditionalFormatting sqref="C17:E17">
    <cfRule type="colorScale" priority="1">
      <colorScale>
        <cfvo type="min"/>
        <cfvo type="percentile" val="50"/>
        <cfvo type="max"/>
        <color rgb="FF63BE7B"/>
        <color rgb="FFFFEB84"/>
        <color rgb="FFF8696B"/>
      </colorScale>
    </cfRule>
  </conditionalFormatting>
  <conditionalFormatting sqref="C18:E18">
    <cfRule type="colorScale" priority="76">
      <colorScale>
        <cfvo type="min"/>
        <cfvo type="percentile" val="50"/>
        <cfvo type="max"/>
        <color rgb="FF63BE7B"/>
        <color rgb="FFFFEB84"/>
        <color rgb="FFF8696B"/>
      </colorScale>
    </cfRule>
  </conditionalFormatting>
  <conditionalFormatting sqref="C19:E19">
    <cfRule type="colorScale" priority="75">
      <colorScale>
        <cfvo type="min"/>
        <cfvo type="percentile" val="50"/>
        <cfvo type="max"/>
        <color rgb="FF63BE7B"/>
        <color rgb="FFFFEB84"/>
        <color rgb="FFF8696B"/>
      </colorScale>
    </cfRule>
  </conditionalFormatting>
  <conditionalFormatting sqref="C20:E20">
    <cfRule type="colorScale" priority="74">
      <colorScale>
        <cfvo type="min"/>
        <cfvo type="percentile" val="50"/>
        <cfvo type="max"/>
        <color rgb="FF63BE7B"/>
        <color rgb="FFFFEB84"/>
        <color rgb="FFF8696B"/>
      </colorScale>
    </cfRule>
  </conditionalFormatting>
  <conditionalFormatting sqref="C21:E21">
    <cfRule type="colorScale" priority="73">
      <colorScale>
        <cfvo type="min"/>
        <cfvo type="percentile" val="50"/>
        <cfvo type="max"/>
        <color rgb="FF63BE7B"/>
        <color rgb="FFFFEB84"/>
        <color rgb="FFF8696B"/>
      </colorScale>
    </cfRule>
  </conditionalFormatting>
  <conditionalFormatting sqref="C22:E22">
    <cfRule type="colorScale" priority="72">
      <colorScale>
        <cfvo type="min"/>
        <cfvo type="percentile" val="50"/>
        <cfvo type="max"/>
        <color rgb="FF63BE7B"/>
        <color rgb="FFFFEB84"/>
        <color rgb="FFF8696B"/>
      </colorScale>
    </cfRule>
  </conditionalFormatting>
  <conditionalFormatting sqref="C23:E23">
    <cfRule type="colorScale" priority="71">
      <colorScale>
        <cfvo type="min"/>
        <cfvo type="percentile" val="50"/>
        <cfvo type="max"/>
        <color rgb="FF63BE7B"/>
        <color rgb="FFFFEB84"/>
        <color rgb="FFF8696B"/>
      </colorScale>
    </cfRule>
  </conditionalFormatting>
  <conditionalFormatting sqref="H8:J8">
    <cfRule type="colorScale" priority="21">
      <colorScale>
        <cfvo type="min"/>
        <cfvo type="percentile" val="50"/>
        <cfvo type="max"/>
        <color rgb="FF63BE7B"/>
        <color rgb="FFFFEB84"/>
        <color rgb="FFF8696B"/>
      </colorScale>
    </cfRule>
  </conditionalFormatting>
  <conditionalFormatting sqref="H9:J9">
    <cfRule type="colorScale" priority="20">
      <colorScale>
        <cfvo type="min"/>
        <cfvo type="percentile" val="50"/>
        <cfvo type="max"/>
        <color rgb="FF63BE7B"/>
        <color rgb="FFFFEB84"/>
        <color rgb="FFF8696B"/>
      </colorScale>
    </cfRule>
  </conditionalFormatting>
  <conditionalFormatting sqref="H10:J10">
    <cfRule type="colorScale" priority="19">
      <colorScale>
        <cfvo type="min"/>
        <cfvo type="percentile" val="50"/>
        <cfvo type="max"/>
        <color rgb="FF63BE7B"/>
        <color rgb="FFFFEB84"/>
        <color rgb="FFF8696B"/>
      </colorScale>
    </cfRule>
  </conditionalFormatting>
  <conditionalFormatting sqref="H11:J11">
    <cfRule type="colorScale" priority="18">
      <colorScale>
        <cfvo type="min"/>
        <cfvo type="percentile" val="50"/>
        <cfvo type="max"/>
        <color rgb="FF63BE7B"/>
        <color rgb="FFFFEB84"/>
        <color rgb="FFF8696B"/>
      </colorScale>
    </cfRule>
  </conditionalFormatting>
  <conditionalFormatting sqref="H12:J12">
    <cfRule type="colorScale" priority="17">
      <colorScale>
        <cfvo type="min"/>
        <cfvo type="percentile" val="50"/>
        <cfvo type="max"/>
        <color rgb="FF63BE7B"/>
        <color rgb="FFFFEB84"/>
        <color rgb="FFF8696B"/>
      </colorScale>
    </cfRule>
  </conditionalFormatting>
  <conditionalFormatting sqref="H13:J13">
    <cfRule type="colorScale" priority="16">
      <colorScale>
        <cfvo type="min"/>
        <cfvo type="percentile" val="50"/>
        <cfvo type="max"/>
        <color rgb="FF63BE7B"/>
        <color rgb="FFFFEB84"/>
        <color rgb="FFF8696B"/>
      </colorScale>
    </cfRule>
  </conditionalFormatting>
  <conditionalFormatting sqref="H14:J14">
    <cfRule type="colorScale" priority="15">
      <colorScale>
        <cfvo type="min"/>
        <cfvo type="percentile" val="50"/>
        <cfvo type="max"/>
        <color rgb="FF63BE7B"/>
        <color rgb="FFFFEB84"/>
        <color rgb="FFF8696B"/>
      </colorScale>
    </cfRule>
  </conditionalFormatting>
  <conditionalFormatting sqref="H15:J15">
    <cfRule type="colorScale" priority="14">
      <colorScale>
        <cfvo type="min"/>
        <cfvo type="percentile" val="50"/>
        <cfvo type="max"/>
        <color rgb="FF63BE7B"/>
        <color rgb="FFFFEB84"/>
        <color rgb="FFF8696B"/>
      </colorScale>
    </cfRule>
  </conditionalFormatting>
  <conditionalFormatting sqref="H16:J16">
    <cfRule type="colorScale" priority="13">
      <colorScale>
        <cfvo type="min"/>
        <cfvo type="percentile" val="50"/>
        <cfvo type="max"/>
        <color rgb="FF63BE7B"/>
        <color rgb="FFFFEB84"/>
        <color rgb="FFF8696B"/>
      </colorScale>
    </cfRule>
  </conditionalFormatting>
  <conditionalFormatting sqref="H17:J17">
    <cfRule type="colorScale" priority="12">
      <colorScale>
        <cfvo type="min"/>
        <cfvo type="percentile" val="50"/>
        <cfvo type="max"/>
        <color rgb="FF63BE7B"/>
        <color rgb="FFFFEB84"/>
        <color rgb="FFF8696B"/>
      </colorScale>
    </cfRule>
  </conditionalFormatting>
  <conditionalFormatting sqref="H18:J18">
    <cfRule type="colorScale" priority="11">
      <colorScale>
        <cfvo type="min"/>
        <cfvo type="percentile" val="50"/>
        <cfvo type="max"/>
        <color rgb="FF63BE7B"/>
        <color rgb="FFFFEB84"/>
        <color rgb="FFF8696B"/>
      </colorScale>
    </cfRule>
  </conditionalFormatting>
  <conditionalFormatting sqref="H19:J19">
    <cfRule type="colorScale" priority="10">
      <colorScale>
        <cfvo type="min"/>
        <cfvo type="percentile" val="50"/>
        <cfvo type="max"/>
        <color rgb="FF63BE7B"/>
        <color rgb="FFFFEB84"/>
        <color rgb="FFF8696B"/>
      </colorScale>
    </cfRule>
  </conditionalFormatting>
  <conditionalFormatting sqref="H20:J20">
    <cfRule type="colorScale" priority="9">
      <colorScale>
        <cfvo type="min"/>
        <cfvo type="percentile" val="50"/>
        <cfvo type="max"/>
        <color rgb="FF63BE7B"/>
        <color rgb="FFFFEB84"/>
        <color rgb="FFF8696B"/>
      </colorScale>
    </cfRule>
  </conditionalFormatting>
  <conditionalFormatting sqref="H21:J21">
    <cfRule type="colorScale" priority="8">
      <colorScale>
        <cfvo type="min"/>
        <cfvo type="percentile" val="50"/>
        <cfvo type="max"/>
        <color rgb="FF63BE7B"/>
        <color rgb="FFFFEB84"/>
        <color rgb="FFF8696B"/>
      </colorScale>
    </cfRule>
  </conditionalFormatting>
  <conditionalFormatting sqref="H22:J22">
    <cfRule type="colorScale" priority="7">
      <colorScale>
        <cfvo type="min"/>
        <cfvo type="percentile" val="50"/>
        <cfvo type="max"/>
        <color rgb="FF63BE7B"/>
        <color rgb="FFFFEB84"/>
        <color rgb="FFF8696B"/>
      </colorScale>
    </cfRule>
  </conditionalFormatting>
  <conditionalFormatting sqref="H23:J23">
    <cfRule type="colorScale" priority="6">
      <colorScale>
        <cfvo type="min"/>
        <cfvo type="percentile" val="50"/>
        <cfvo type="max"/>
        <color rgb="FF63BE7B"/>
        <color rgb="FFFFEB84"/>
        <color rgb="FFF8696B"/>
      </colorScale>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sheetPr>
  <dimension ref="A3:R80"/>
  <sheetViews>
    <sheetView showGridLines="0" zoomScale="80" zoomScaleNormal="80" workbookViewId="0">
      <selection activeCell="A11" sqref="A11"/>
    </sheetView>
  </sheetViews>
  <sheetFormatPr defaultRowHeight="14.4" x14ac:dyDescent="0.3"/>
  <cols>
    <col min="1" max="1" width="30.33203125" customWidth="1"/>
    <col min="2" max="2" width="17" customWidth="1"/>
    <col min="3" max="16" width="13.21875" customWidth="1"/>
    <col min="17" max="17" width="11.88671875" customWidth="1"/>
    <col min="18" max="18" width="18.5546875" customWidth="1"/>
    <col min="19" max="19" width="37.77734375" customWidth="1"/>
    <col min="20" max="20" width="11.88671875" customWidth="1"/>
  </cols>
  <sheetData>
    <row r="3" spans="1:18" ht="57.6" x14ac:dyDescent="0.3">
      <c r="A3" s="283" t="s">
        <v>395</v>
      </c>
      <c r="B3" s="283" t="s">
        <v>789</v>
      </c>
      <c r="C3" s="284" t="s">
        <v>963</v>
      </c>
      <c r="D3" s="284" t="s">
        <v>964</v>
      </c>
      <c r="E3" s="284" t="s">
        <v>965</v>
      </c>
      <c r="F3" s="284" t="s">
        <v>962</v>
      </c>
      <c r="G3" s="284" t="s">
        <v>966</v>
      </c>
      <c r="H3" s="284" t="s">
        <v>967</v>
      </c>
      <c r="I3" s="284" t="s">
        <v>788</v>
      </c>
      <c r="J3" s="284" t="s">
        <v>968</v>
      </c>
      <c r="K3" s="284" t="s">
        <v>969</v>
      </c>
      <c r="L3" s="284" t="s">
        <v>970</v>
      </c>
      <c r="M3" s="284" t="s">
        <v>790</v>
      </c>
      <c r="N3" s="284" t="s">
        <v>799</v>
      </c>
      <c r="O3" s="284" t="s">
        <v>972</v>
      </c>
      <c r="P3" s="284" t="s">
        <v>980</v>
      </c>
      <c r="R3" s="541" t="s">
        <v>975</v>
      </c>
    </row>
    <row r="4" spans="1:18" ht="15.6" thickBot="1" x14ac:dyDescent="0.35">
      <c r="A4" s="285" t="s">
        <v>397</v>
      </c>
      <c r="B4" s="286" t="s">
        <v>650</v>
      </c>
      <c r="C4" s="546">
        <f>'Results LCIA_EF'!C8</f>
        <v>16.237819999999999</v>
      </c>
      <c r="D4" s="546">
        <f>'Results LCIA_EF'!D8</f>
        <v>17.404976000000001</v>
      </c>
      <c r="E4" s="546">
        <f>'Results LCIA_EF'!E8</f>
        <v>17.925571000000001</v>
      </c>
      <c r="F4" s="460">
        <v>15.546291999999999</v>
      </c>
      <c r="G4" s="460">
        <v>16.611936</v>
      </c>
      <c r="H4" s="460">
        <v>17.115691999999999</v>
      </c>
      <c r="I4" s="285"/>
      <c r="J4" s="285"/>
      <c r="K4" s="285"/>
      <c r="L4" s="285"/>
      <c r="M4" s="285"/>
      <c r="N4" s="237"/>
      <c r="O4" s="285"/>
      <c r="P4" s="285"/>
      <c r="Q4" s="282"/>
      <c r="R4" t="s">
        <v>976</v>
      </c>
    </row>
    <row r="5" spans="1:18" ht="15" thickTop="1" x14ac:dyDescent="0.3">
      <c r="A5" s="285" t="s">
        <v>397</v>
      </c>
      <c r="B5" s="286" t="s">
        <v>415</v>
      </c>
      <c r="C5" s="237">
        <f>C7*C4</f>
        <v>113.55118881118881</v>
      </c>
      <c r="D5" s="237">
        <f t="shared" ref="D5:E5" si="0">D7*D4</f>
        <v>116.65533512064344</v>
      </c>
      <c r="E5" s="237">
        <f t="shared" si="0"/>
        <v>113.02377679697354</v>
      </c>
      <c r="F5" s="237">
        <f>F7*F4</f>
        <v>108.71532867132868</v>
      </c>
      <c r="G5" s="237">
        <f t="shared" ref="G5:H5" si="1">G7*G4</f>
        <v>111.34005361930295</v>
      </c>
      <c r="H5" s="237">
        <f t="shared" si="1"/>
        <v>107.91735182849936</v>
      </c>
      <c r="I5" s="237">
        <v>72.900000000000006</v>
      </c>
      <c r="J5" s="237">
        <v>172</v>
      </c>
      <c r="K5" s="237">
        <v>240</v>
      </c>
      <c r="L5" s="237">
        <v>487</v>
      </c>
      <c r="M5" s="237">
        <v>110</v>
      </c>
      <c r="N5" s="237">
        <v>53</v>
      </c>
      <c r="O5" s="237">
        <f>(61+106)/2</f>
        <v>83.5</v>
      </c>
      <c r="P5" s="237">
        <f>(150+200)/2</f>
        <v>175</v>
      </c>
      <c r="Q5" s="282"/>
      <c r="R5" t="s">
        <v>977</v>
      </c>
    </row>
    <row r="6" spans="1:18" x14ac:dyDescent="0.3">
      <c r="C6" s="10"/>
      <c r="D6" s="10"/>
      <c r="E6" s="10"/>
      <c r="F6" s="461">
        <f>(C4-F4)/F4</f>
        <v>4.4481861012259385E-2</v>
      </c>
      <c r="G6" s="461">
        <f>(D4-G4)/G4</f>
        <v>4.7739167788751494E-2</v>
      </c>
      <c r="H6" s="461">
        <f>(E4-H4)/H4</f>
        <v>4.7317923225073361E-2</v>
      </c>
      <c r="R6" t="s">
        <v>978</v>
      </c>
    </row>
    <row r="7" spans="1:18" x14ac:dyDescent="0.3">
      <c r="B7" s="287" t="s">
        <v>125</v>
      </c>
      <c r="C7" s="281">
        <f>1/parameters!$E$3</f>
        <v>6.9930069930069934</v>
      </c>
      <c r="D7" s="229">
        <f>1/parameters!$E$6</f>
        <v>6.7024128686327078</v>
      </c>
      <c r="E7" s="229">
        <f>1/parameters!$E$9</f>
        <v>6.3051702395964693</v>
      </c>
      <c r="F7" s="281">
        <f>1/parameters!$E$3</f>
        <v>6.9930069930069934</v>
      </c>
      <c r="G7" s="229">
        <f>1/parameters!$E$6</f>
        <v>6.7024128686327078</v>
      </c>
      <c r="H7" s="229">
        <f>1/parameters!$E$9</f>
        <v>6.3051702395964693</v>
      </c>
      <c r="I7" s="229"/>
      <c r="J7" s="229"/>
      <c r="K7" s="229"/>
      <c r="L7" s="229"/>
      <c r="M7" s="229"/>
      <c r="N7" s="229"/>
      <c r="O7" s="229"/>
      <c r="P7" s="229"/>
      <c r="R7" t="s">
        <v>979</v>
      </c>
    </row>
    <row r="8" spans="1:18" x14ac:dyDescent="0.3">
      <c r="M8" s="288" t="s">
        <v>791</v>
      </c>
      <c r="R8" s="462" t="s">
        <v>973</v>
      </c>
    </row>
    <row r="9" spans="1:18" x14ac:dyDescent="0.3">
      <c r="C9" s="138"/>
      <c r="D9" s="138"/>
      <c r="E9" s="138"/>
      <c r="R9" t="s">
        <v>974</v>
      </c>
    </row>
    <row r="10" spans="1:18" x14ac:dyDescent="0.3">
      <c r="C10" s="10"/>
      <c r="D10" s="10"/>
      <c r="E10" s="10"/>
      <c r="F10" s="10"/>
      <c r="G10" s="10"/>
      <c r="H10" s="10"/>
    </row>
    <row r="11" spans="1:18" x14ac:dyDescent="0.3">
      <c r="C11" s="10"/>
      <c r="D11" s="10"/>
      <c r="E11" s="10"/>
      <c r="F11" s="10"/>
      <c r="G11" s="10"/>
      <c r="H11" s="10"/>
    </row>
    <row r="12" spans="1:18" x14ac:dyDescent="0.3">
      <c r="C12" s="10"/>
      <c r="D12" s="10"/>
      <c r="E12" s="10"/>
      <c r="F12" s="10"/>
      <c r="G12" s="10"/>
      <c r="H12" s="10"/>
    </row>
    <row r="13" spans="1:18" x14ac:dyDescent="0.3">
      <c r="D13" s="10"/>
      <c r="E13" s="10"/>
      <c r="F13" s="10"/>
      <c r="G13" s="10"/>
      <c r="H13" s="10"/>
      <c r="R13" s="8" t="s">
        <v>1099</v>
      </c>
    </row>
    <row r="14" spans="1:18" x14ac:dyDescent="0.3">
      <c r="D14" s="10"/>
      <c r="E14" s="10"/>
      <c r="F14" s="10"/>
      <c r="G14" s="10"/>
      <c r="H14" s="10"/>
      <c r="R14" t="s">
        <v>1104</v>
      </c>
    </row>
    <row r="15" spans="1:18" x14ac:dyDescent="0.3">
      <c r="D15" s="10"/>
      <c r="E15" s="10"/>
      <c r="F15" s="10"/>
      <c r="G15" s="10"/>
      <c r="H15" s="10"/>
      <c r="R15" t="s">
        <v>1103</v>
      </c>
    </row>
    <row r="16" spans="1:18" x14ac:dyDescent="0.3">
      <c r="D16" s="10"/>
      <c r="E16" s="10"/>
      <c r="F16" s="10"/>
      <c r="G16" s="10"/>
      <c r="H16" s="10"/>
      <c r="R16" t="s">
        <v>1105</v>
      </c>
    </row>
    <row r="17" spans="3:18" x14ac:dyDescent="0.3">
      <c r="D17" s="10"/>
      <c r="E17" s="10"/>
      <c r="F17" s="10"/>
      <c r="G17" s="10"/>
      <c r="H17" s="10"/>
      <c r="R17" t="s">
        <v>1106</v>
      </c>
    </row>
    <row r="18" spans="3:18" x14ac:dyDescent="0.3">
      <c r="D18" s="10"/>
      <c r="E18" s="10"/>
      <c r="F18" s="10"/>
      <c r="G18" s="10"/>
      <c r="H18" s="10"/>
      <c r="R18" t="s">
        <v>1102</v>
      </c>
    </row>
    <row r="19" spans="3:18" x14ac:dyDescent="0.3">
      <c r="D19" s="10"/>
      <c r="E19" s="10"/>
      <c r="F19" s="10"/>
      <c r="G19" s="10"/>
      <c r="H19" s="10"/>
      <c r="R19" s="186" t="s">
        <v>1098</v>
      </c>
    </row>
    <row r="20" spans="3:18" x14ac:dyDescent="0.3">
      <c r="C20" s="10"/>
      <c r="D20" s="10"/>
      <c r="E20" s="10"/>
      <c r="F20" s="10"/>
      <c r="G20" s="10"/>
      <c r="H20" s="10"/>
    </row>
    <row r="21" spans="3:18" x14ac:dyDescent="0.3">
      <c r="C21" s="10"/>
      <c r="D21" s="10"/>
      <c r="E21" s="10"/>
      <c r="F21" s="10"/>
      <c r="G21" s="10"/>
      <c r="H21" s="10"/>
    </row>
    <row r="22" spans="3:18" x14ac:dyDescent="0.3">
      <c r="C22" s="10"/>
      <c r="D22" s="10"/>
      <c r="E22" s="10"/>
      <c r="F22" s="10"/>
      <c r="G22" s="10"/>
      <c r="H22" s="10"/>
    </row>
    <row r="32" spans="3:18" x14ac:dyDescent="0.3">
      <c r="C32" s="9"/>
    </row>
    <row r="49" spans="1:5" x14ac:dyDescent="0.3">
      <c r="A49" t="s">
        <v>1162</v>
      </c>
      <c r="B49" t="s">
        <v>1163</v>
      </c>
    </row>
    <row r="50" spans="1:5" x14ac:dyDescent="0.3">
      <c r="A50" t="s">
        <v>387</v>
      </c>
      <c r="B50" t="s">
        <v>388</v>
      </c>
    </row>
    <row r="51" spans="1:5" x14ac:dyDescent="0.3">
      <c r="A51" t="s">
        <v>1164</v>
      </c>
      <c r="B51" t="s">
        <v>1165</v>
      </c>
    </row>
    <row r="52" spans="1:5" x14ac:dyDescent="0.3">
      <c r="A52" t="s">
        <v>1166</v>
      </c>
      <c r="B52" t="s">
        <v>1167</v>
      </c>
    </row>
    <row r="53" spans="1:5" x14ac:dyDescent="0.3">
      <c r="A53" t="s">
        <v>1168</v>
      </c>
      <c r="B53" t="s">
        <v>1169</v>
      </c>
    </row>
    <row r="54" spans="1:5" x14ac:dyDescent="0.3">
      <c r="A54" t="s">
        <v>389</v>
      </c>
      <c r="B54" t="s">
        <v>1181</v>
      </c>
    </row>
    <row r="55" spans="1:5" x14ac:dyDescent="0.3">
      <c r="A55" t="s">
        <v>391</v>
      </c>
      <c r="B55" t="s">
        <v>392</v>
      </c>
    </row>
    <row r="56" spans="1:5" x14ac:dyDescent="0.3">
      <c r="A56" t="s">
        <v>1170</v>
      </c>
      <c r="B56" t="s">
        <v>1171</v>
      </c>
    </row>
    <row r="57" spans="1:5" x14ac:dyDescent="0.3">
      <c r="A57" t="s">
        <v>1172</v>
      </c>
      <c r="B57" t="s">
        <v>1173</v>
      </c>
    </row>
    <row r="58" spans="1:5" x14ac:dyDescent="0.3">
      <c r="A58" t="s">
        <v>393</v>
      </c>
      <c r="B58" t="s">
        <v>394</v>
      </c>
    </row>
    <row r="59" spans="1:5" x14ac:dyDescent="0.3">
      <c r="A59" t="s">
        <v>1174</v>
      </c>
      <c r="B59" t="s">
        <v>395</v>
      </c>
    </row>
    <row r="60" spans="1:5" x14ac:dyDescent="0.3">
      <c r="A60" t="s">
        <v>1175</v>
      </c>
      <c r="B60" t="s">
        <v>1176</v>
      </c>
    </row>
    <row r="62" spans="1:5" x14ac:dyDescent="0.3">
      <c r="A62" t="s">
        <v>395</v>
      </c>
      <c r="B62" t="s">
        <v>396</v>
      </c>
      <c r="C62" t="s">
        <v>1177</v>
      </c>
      <c r="D62" t="s">
        <v>1178</v>
      </c>
      <c r="E62" t="s">
        <v>1179</v>
      </c>
    </row>
    <row r="63" spans="1:5" x14ac:dyDescent="0.3">
      <c r="A63" t="s">
        <v>397</v>
      </c>
      <c r="B63" t="s">
        <v>398</v>
      </c>
      <c r="C63">
        <v>15.546291999999999</v>
      </c>
      <c r="D63">
        <v>16.611936</v>
      </c>
      <c r="E63">
        <v>17.115691999999999</v>
      </c>
    </row>
    <row r="64" spans="1:5" x14ac:dyDescent="0.3">
      <c r="A64" t="s">
        <v>399</v>
      </c>
      <c r="B64" t="s">
        <v>1182</v>
      </c>
      <c r="C64" s="9">
        <v>1.1768886000000001E-6</v>
      </c>
      <c r="D64" s="9">
        <v>1.2384160000000001E-6</v>
      </c>
      <c r="E64" s="9">
        <v>1.2779109E-6</v>
      </c>
    </row>
    <row r="65" spans="1:5" x14ac:dyDescent="0.3">
      <c r="A65" t="s">
        <v>1183</v>
      </c>
      <c r="B65" t="s">
        <v>1184</v>
      </c>
      <c r="C65" s="9">
        <v>0.30758562</v>
      </c>
      <c r="D65" s="9">
        <v>0.49106982999999998</v>
      </c>
      <c r="E65" s="9">
        <v>0.50266135999999995</v>
      </c>
    </row>
    <row r="66" spans="1:5" x14ac:dyDescent="0.3">
      <c r="A66" t="s">
        <v>1185</v>
      </c>
      <c r="B66" t="s">
        <v>406</v>
      </c>
      <c r="C66">
        <v>1.5115151E-3</v>
      </c>
      <c r="D66">
        <v>1.6369041E-3</v>
      </c>
      <c r="E66">
        <v>1.7149305999999999E-3</v>
      </c>
    </row>
    <row r="67" spans="1:5" x14ac:dyDescent="0.3">
      <c r="A67" t="s">
        <v>1186</v>
      </c>
      <c r="B67" t="s">
        <v>407</v>
      </c>
      <c r="C67">
        <v>4.0110657000000001E-3</v>
      </c>
      <c r="D67">
        <v>4.4614950999999998E-3</v>
      </c>
      <c r="E67">
        <v>4.8653688000000004E-3</v>
      </c>
    </row>
    <row r="68" spans="1:5" x14ac:dyDescent="0.3">
      <c r="A68" t="s">
        <v>1187</v>
      </c>
      <c r="B68" t="s">
        <v>1188</v>
      </c>
      <c r="C68">
        <v>11.953078</v>
      </c>
      <c r="D68">
        <v>11.937457999999999</v>
      </c>
      <c r="E68">
        <v>12.405659</v>
      </c>
    </row>
    <row r="69" spans="1:5" x14ac:dyDescent="0.3">
      <c r="A69" t="s">
        <v>1189</v>
      </c>
      <c r="B69" t="s">
        <v>1190</v>
      </c>
      <c r="C69">
        <v>8.9343292000000005E-2</v>
      </c>
      <c r="D69">
        <v>0.10858368</v>
      </c>
      <c r="E69">
        <v>0.11171418</v>
      </c>
    </row>
    <row r="70" spans="1:5" x14ac:dyDescent="0.3">
      <c r="A70" t="s">
        <v>1191</v>
      </c>
      <c r="B70" t="s">
        <v>1192</v>
      </c>
      <c r="C70">
        <v>0.10370176</v>
      </c>
      <c r="D70">
        <v>0.13438137</v>
      </c>
      <c r="E70">
        <v>0.13911180000000001</v>
      </c>
    </row>
    <row r="71" spans="1:5" x14ac:dyDescent="0.3">
      <c r="A71" t="s">
        <v>1193</v>
      </c>
      <c r="B71" t="s">
        <v>1188</v>
      </c>
      <c r="C71">
        <v>3.9383760000000004E-3</v>
      </c>
      <c r="D71">
        <v>4.6644206999999997E-3</v>
      </c>
      <c r="E71">
        <v>4.7719001000000004E-3</v>
      </c>
    </row>
    <row r="72" spans="1:5" x14ac:dyDescent="0.3">
      <c r="A72" t="s">
        <v>1194</v>
      </c>
      <c r="B72" t="s">
        <v>1188</v>
      </c>
      <c r="C72">
        <v>6.1888802999999999E-2</v>
      </c>
      <c r="D72">
        <v>9.7715988000000004E-2</v>
      </c>
      <c r="E72">
        <v>9.8819691000000001E-2</v>
      </c>
    </row>
    <row r="73" spans="1:5" x14ac:dyDescent="0.3">
      <c r="A73" t="s">
        <v>1195</v>
      </c>
      <c r="B73" t="s">
        <v>1188</v>
      </c>
      <c r="C73">
        <v>0.21214121999999999</v>
      </c>
      <c r="D73">
        <v>0.25971330999999998</v>
      </c>
      <c r="E73">
        <v>0.26890318000000002</v>
      </c>
    </row>
    <row r="74" spans="1:5" x14ac:dyDescent="0.3">
      <c r="A74" t="s">
        <v>1024</v>
      </c>
      <c r="B74" t="s">
        <v>1196</v>
      </c>
      <c r="C74">
        <v>0.41554835000000001</v>
      </c>
      <c r="D74">
        <v>0.48612462000000001</v>
      </c>
      <c r="E74">
        <v>0.50197986000000006</v>
      </c>
    </row>
    <row r="75" spans="1:5" x14ac:dyDescent="0.3">
      <c r="A75" t="s">
        <v>1197</v>
      </c>
      <c r="B75" t="s">
        <v>1198</v>
      </c>
      <c r="C75">
        <v>0.65083674999999996</v>
      </c>
      <c r="D75">
        <v>0.72249333999999998</v>
      </c>
      <c r="E75">
        <v>0.75224939999999996</v>
      </c>
    </row>
    <row r="76" spans="1:5" x14ac:dyDescent="0.3">
      <c r="A76" t="s">
        <v>1199</v>
      </c>
      <c r="B76" t="s">
        <v>1198</v>
      </c>
      <c r="C76">
        <v>0.41661661999999999</v>
      </c>
      <c r="D76">
        <v>0.45815581</v>
      </c>
      <c r="E76">
        <v>0.47969231000000001</v>
      </c>
    </row>
    <row r="77" spans="1:5" x14ac:dyDescent="0.3">
      <c r="A77" t="s">
        <v>1200</v>
      </c>
      <c r="B77" t="s">
        <v>1201</v>
      </c>
      <c r="C77">
        <v>3.4352771000000001E-3</v>
      </c>
      <c r="D77">
        <v>3.8660713000000001E-3</v>
      </c>
      <c r="E77">
        <v>4.0347114999999996E-3</v>
      </c>
    </row>
    <row r="78" spans="1:5" x14ac:dyDescent="0.3">
      <c r="A78" t="s">
        <v>1202</v>
      </c>
      <c r="B78" t="s">
        <v>55</v>
      </c>
      <c r="C78">
        <v>0.13214041000000001</v>
      </c>
      <c r="D78">
        <v>0.13764082</v>
      </c>
      <c r="E78">
        <v>0.14311992000000001</v>
      </c>
    </row>
    <row r="79" spans="1:5" x14ac:dyDescent="0.3">
      <c r="A79" t="s">
        <v>1203</v>
      </c>
      <c r="B79" t="s">
        <v>1204</v>
      </c>
      <c r="C79">
        <v>19.090807000000002</v>
      </c>
      <c r="D79">
        <v>17.544774</v>
      </c>
      <c r="E79">
        <v>16.494669999999999</v>
      </c>
    </row>
    <row r="80" spans="1:5" x14ac:dyDescent="0.3">
      <c r="A80" t="s">
        <v>1205</v>
      </c>
      <c r="B80" t="s">
        <v>1206</v>
      </c>
      <c r="C80">
        <v>4.0604081000000001</v>
      </c>
      <c r="D80">
        <v>4.4290152000000003</v>
      </c>
      <c r="E80">
        <v>4.5459693999999997</v>
      </c>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CC"/>
  </sheetPr>
  <dimension ref="A1:U143"/>
  <sheetViews>
    <sheetView zoomScale="60" zoomScaleNormal="60" workbookViewId="0">
      <selection activeCell="O19" sqref="O19"/>
    </sheetView>
  </sheetViews>
  <sheetFormatPr defaultRowHeight="14.4" x14ac:dyDescent="0.3"/>
  <cols>
    <col min="1" max="1" width="29.6640625" customWidth="1"/>
    <col min="2" max="2" width="14.44140625" customWidth="1"/>
    <col min="3" max="6" width="21.109375" style="143" customWidth="1"/>
    <col min="7" max="8" width="21.109375" customWidth="1"/>
    <col min="9" max="9" width="16.44140625" customWidth="1"/>
    <col min="10" max="13" width="21" customWidth="1"/>
    <col min="14" max="21" width="18.6640625" customWidth="1"/>
  </cols>
  <sheetData>
    <row r="1" spans="1:16" x14ac:dyDescent="0.3">
      <c r="A1" s="243" t="s">
        <v>710</v>
      </c>
      <c r="B1" s="243" t="s">
        <v>709</v>
      </c>
      <c r="C1"/>
      <c r="D1"/>
      <c r="E1"/>
      <c r="F1"/>
    </row>
    <row r="2" spans="1:16" x14ac:dyDescent="0.3">
      <c r="A2" s="243" t="s">
        <v>711</v>
      </c>
      <c r="B2" s="243" t="s">
        <v>712</v>
      </c>
      <c r="C2"/>
      <c r="D2"/>
      <c r="E2"/>
      <c r="F2"/>
    </row>
    <row r="3" spans="1:16" x14ac:dyDescent="0.3">
      <c r="A3" s="243"/>
      <c r="B3" s="243"/>
      <c r="C3"/>
      <c r="D3"/>
      <c r="E3"/>
      <c r="F3"/>
    </row>
    <row r="4" spans="1:16" x14ac:dyDescent="0.3">
      <c r="A4" s="243" t="s">
        <v>1207</v>
      </c>
      <c r="C4"/>
      <c r="D4"/>
      <c r="E4"/>
      <c r="F4"/>
    </row>
    <row r="5" spans="1:16" x14ac:dyDescent="0.3">
      <c r="A5" s="243"/>
      <c r="C5"/>
      <c r="D5"/>
      <c r="E5"/>
      <c r="F5"/>
    </row>
    <row r="6" spans="1:16" x14ac:dyDescent="0.3">
      <c r="A6" t="s">
        <v>387</v>
      </c>
      <c r="B6" t="s">
        <v>388</v>
      </c>
      <c r="C6"/>
      <c r="D6"/>
      <c r="E6"/>
      <c r="F6"/>
    </row>
    <row r="7" spans="1:16" x14ac:dyDescent="0.3">
      <c r="A7" t="s">
        <v>389</v>
      </c>
      <c r="B7" t="s">
        <v>1023</v>
      </c>
      <c r="C7"/>
      <c r="D7"/>
      <c r="E7"/>
      <c r="F7"/>
    </row>
    <row r="8" spans="1:16" x14ac:dyDescent="0.3">
      <c r="A8" t="s">
        <v>391</v>
      </c>
      <c r="B8" t="s">
        <v>392</v>
      </c>
      <c r="C8"/>
      <c r="D8"/>
      <c r="E8"/>
      <c r="F8"/>
    </row>
    <row r="9" spans="1:16" x14ac:dyDescent="0.3">
      <c r="A9" t="s">
        <v>393</v>
      </c>
      <c r="B9" t="s">
        <v>394</v>
      </c>
      <c r="C9"/>
      <c r="D9"/>
      <c r="E9"/>
      <c r="F9"/>
    </row>
    <row r="10" spans="1:16" ht="34.049999999999997" customHeight="1" x14ac:dyDescent="0.3">
      <c r="C10"/>
      <c r="D10"/>
      <c r="E10"/>
      <c r="F10"/>
      <c r="H10" s="372" t="s">
        <v>708</v>
      </c>
    </row>
    <row r="11" spans="1:16" x14ac:dyDescent="0.3">
      <c r="C11"/>
      <c r="D11"/>
      <c r="E11"/>
      <c r="F11"/>
    </row>
    <row r="13" spans="1:16" s="240" customFormat="1" x14ac:dyDescent="0.3">
      <c r="A13" s="241" t="s">
        <v>726</v>
      </c>
      <c r="B13" s="241"/>
      <c r="C13" s="241"/>
      <c r="D13" s="241"/>
      <c r="E13" s="241"/>
      <c r="F13" s="241"/>
      <c r="G13" s="241"/>
      <c r="H13" s="241"/>
      <c r="I13" s="241"/>
      <c r="J13" s="241"/>
      <c r="K13" s="241"/>
    </row>
    <row r="14" spans="1:16" ht="86.4" x14ac:dyDescent="0.3">
      <c r="A14" s="183" t="s">
        <v>395</v>
      </c>
      <c r="B14" s="183" t="s">
        <v>396</v>
      </c>
      <c r="C14" s="246" t="s">
        <v>729</v>
      </c>
      <c r="D14" s="246" t="s">
        <v>812</v>
      </c>
      <c r="E14" s="246" t="s">
        <v>813</v>
      </c>
      <c r="F14" s="367" t="s">
        <v>814</v>
      </c>
      <c r="G14" s="367" t="s">
        <v>815</v>
      </c>
      <c r="H14" s="367" t="s">
        <v>1050</v>
      </c>
      <c r="J14" s="246" t="s">
        <v>729</v>
      </c>
      <c r="K14" s="246" t="s">
        <v>812</v>
      </c>
      <c r="L14" s="246" t="s">
        <v>813</v>
      </c>
      <c r="M14" s="367" t="s">
        <v>814</v>
      </c>
      <c r="N14" s="367" t="s">
        <v>815</v>
      </c>
    </row>
    <row r="15" spans="1:16" x14ac:dyDescent="0.3">
      <c r="A15" t="s">
        <v>397</v>
      </c>
      <c r="B15" t="s">
        <v>398</v>
      </c>
      <c r="C15" s="143">
        <v>5.2008850000000004</v>
      </c>
      <c r="D15" s="10">
        <v>6.1615643999999996</v>
      </c>
      <c r="E15" s="10">
        <v>11.265007000000001</v>
      </c>
      <c r="F15" s="10">
        <v>5.7597373000000003</v>
      </c>
      <c r="G15" s="10">
        <v>8.4604698999999997</v>
      </c>
      <c r="H15" s="10">
        <v>9.4556144</v>
      </c>
      <c r="J15" s="230">
        <f>(C15-$H15)/$H15</f>
        <v>-0.44996858162913239</v>
      </c>
      <c r="K15" s="230">
        <f t="shared" ref="K15:N15" si="0">(D15-$H15)/$H15</f>
        <v>-0.34836974739579063</v>
      </c>
      <c r="L15" s="230">
        <f t="shared" si="0"/>
        <v>0.19135642840934808</v>
      </c>
      <c r="M15" s="230">
        <f t="shared" si="0"/>
        <v>-0.39086588598621363</v>
      </c>
      <c r="N15" s="230">
        <f t="shared" si="0"/>
        <v>-0.10524376924676627</v>
      </c>
      <c r="O15" s="230"/>
      <c r="P15" s="230"/>
    </row>
    <row r="16" spans="1:16" x14ac:dyDescent="0.3">
      <c r="A16" t="s">
        <v>399</v>
      </c>
      <c r="B16" t="s">
        <v>400</v>
      </c>
      <c r="C16" s="143">
        <v>4.3552202999999998E-7</v>
      </c>
      <c r="D16" s="10">
        <v>1.1914553E-6</v>
      </c>
      <c r="E16" s="10">
        <v>1.6766085000000001E-6</v>
      </c>
      <c r="F16" s="10">
        <v>1.2605918E-6</v>
      </c>
      <c r="G16" s="10">
        <v>1.7640341999999999E-6</v>
      </c>
      <c r="H16" s="10">
        <v>1.0942154E-6</v>
      </c>
      <c r="J16" s="230">
        <f t="shared" ref="J16:J30" si="1">(C16-$H16)/$H16</f>
        <v>-0.60197779157558928</v>
      </c>
      <c r="K16" s="230">
        <f t="shared" ref="K16:K30" si="2">(D16-$H16)/$H16</f>
        <v>8.8867237657229092E-2</v>
      </c>
      <c r="L16" s="230">
        <f t="shared" ref="L16:L30" si="3">(E16-$H16)/$H16</f>
        <v>0.53224721567618227</v>
      </c>
      <c r="M16" s="230">
        <f t="shared" ref="M16:M30" si="4">(F16-$H16)/$H16</f>
        <v>0.15205086676718307</v>
      </c>
      <c r="N16" s="230">
        <f t="shared" ref="N16:N30" si="5">(G16-$H16)/$H16</f>
        <v>0.61214528693345016</v>
      </c>
      <c r="O16" s="230"/>
      <c r="P16" s="230"/>
    </row>
    <row r="17" spans="1:16" x14ac:dyDescent="0.3">
      <c r="A17" t="s">
        <v>1024</v>
      </c>
      <c r="B17" t="s">
        <v>401</v>
      </c>
      <c r="C17" s="143">
        <v>0.27439862999999998</v>
      </c>
      <c r="D17" s="10">
        <v>0.17813408</v>
      </c>
      <c r="E17" s="10">
        <v>0.31459841</v>
      </c>
      <c r="F17" s="10">
        <v>0.17690053</v>
      </c>
      <c r="G17" s="10">
        <v>0.30777805000000003</v>
      </c>
      <c r="H17" s="10">
        <v>0.24451618999999999</v>
      </c>
      <c r="J17" s="230">
        <f t="shared" si="1"/>
        <v>0.12221047612430073</v>
      </c>
      <c r="K17" s="230">
        <f t="shared" si="2"/>
        <v>-0.27148349563274315</v>
      </c>
      <c r="L17" s="230">
        <f t="shared" si="3"/>
        <v>0.28661586784907783</v>
      </c>
      <c r="M17" s="230">
        <f t="shared" si="4"/>
        <v>-0.27652835585242841</v>
      </c>
      <c r="N17" s="230">
        <f t="shared" si="5"/>
        <v>0.25872258192801073</v>
      </c>
      <c r="O17" s="230"/>
      <c r="P17" s="230"/>
    </row>
    <row r="18" spans="1:16" x14ac:dyDescent="0.3">
      <c r="A18" t="s">
        <v>1025</v>
      </c>
      <c r="B18" t="s">
        <v>402</v>
      </c>
      <c r="C18" s="143">
        <v>4.9669959999999999E-2</v>
      </c>
      <c r="D18" s="10">
        <v>2.7575708000000001E-2</v>
      </c>
      <c r="E18" s="10">
        <v>6.2638797999999996E-2</v>
      </c>
      <c r="F18" s="10">
        <v>2.5499144000000001E-2</v>
      </c>
      <c r="G18" s="10">
        <v>5.4430028999999998E-2</v>
      </c>
      <c r="H18" s="10">
        <v>5.4235498E-2</v>
      </c>
      <c r="J18" s="230">
        <f t="shared" si="1"/>
        <v>-8.4179885284726266E-2</v>
      </c>
      <c r="K18" s="230">
        <f t="shared" si="2"/>
        <v>-0.49155610224137702</v>
      </c>
      <c r="L18" s="230">
        <f t="shared" si="3"/>
        <v>0.15494095767314603</v>
      </c>
      <c r="M18" s="230">
        <f t="shared" si="4"/>
        <v>-0.52984401470785791</v>
      </c>
      <c r="N18" s="230">
        <f t="shared" si="5"/>
        <v>3.5867836965376033E-3</v>
      </c>
      <c r="O18" s="230"/>
      <c r="P18" s="230"/>
    </row>
    <row r="19" spans="1:16" x14ac:dyDescent="0.3">
      <c r="A19" t="s">
        <v>1026</v>
      </c>
      <c r="B19" t="s">
        <v>403</v>
      </c>
      <c r="C19" s="143">
        <v>5.5558345000000002E-7</v>
      </c>
      <c r="D19" s="10">
        <v>1.1262775E-6</v>
      </c>
      <c r="E19" s="10">
        <v>3.0893110999999998E-6</v>
      </c>
      <c r="F19" s="10">
        <v>1.0737718999999999E-6</v>
      </c>
      <c r="G19" s="10">
        <v>1.8577101000000001E-5</v>
      </c>
      <c r="H19" s="10">
        <v>1.8572387999999999E-5</v>
      </c>
      <c r="J19" s="230">
        <f t="shared" si="1"/>
        <v>-0.97008551350531758</v>
      </c>
      <c r="K19" s="230">
        <f t="shared" si="2"/>
        <v>-0.93935742135044764</v>
      </c>
      <c r="L19" s="230">
        <f t="shared" si="3"/>
        <v>-0.83366107255566713</v>
      </c>
      <c r="M19" s="230">
        <f t="shared" si="4"/>
        <v>-0.94218449991460429</v>
      </c>
      <c r="N19" s="230">
        <f t="shared" si="5"/>
        <v>2.5376381324805441E-4</v>
      </c>
      <c r="O19" s="230"/>
      <c r="P19" s="230"/>
    </row>
    <row r="20" spans="1:16" x14ac:dyDescent="0.3">
      <c r="A20" t="s">
        <v>1027</v>
      </c>
      <c r="B20" t="s">
        <v>404</v>
      </c>
      <c r="C20" s="143">
        <v>3.8130806000000002E-7</v>
      </c>
      <c r="D20" s="10">
        <v>1.1856043E-7</v>
      </c>
      <c r="E20" s="10">
        <v>1.6303583E-7</v>
      </c>
      <c r="F20" s="10">
        <v>1.1483546E-7</v>
      </c>
      <c r="G20" s="10">
        <v>1.3834051E-7</v>
      </c>
      <c r="H20" s="10">
        <v>1.7740431999999999E-7</v>
      </c>
      <c r="J20" s="230">
        <f t="shared" si="1"/>
        <v>1.1493730254144885</v>
      </c>
      <c r="K20" s="230">
        <f t="shared" si="2"/>
        <v>-0.3316936701428691</v>
      </c>
      <c r="L20" s="230">
        <f t="shared" si="3"/>
        <v>-8.0992898030893448E-2</v>
      </c>
      <c r="M20" s="230">
        <f t="shared" si="4"/>
        <v>-0.35269073492686082</v>
      </c>
      <c r="N20" s="230">
        <f t="shared" si="5"/>
        <v>-0.22019649803341873</v>
      </c>
      <c r="O20" s="230"/>
      <c r="P20" s="230"/>
    </row>
    <row r="21" spans="1:16" x14ac:dyDescent="0.3">
      <c r="A21" t="s">
        <v>1028</v>
      </c>
      <c r="B21" t="s">
        <v>404</v>
      </c>
      <c r="C21" s="143">
        <v>6.4770802999999998E-9</v>
      </c>
      <c r="D21" s="10">
        <v>4.0210582999999996E-9</v>
      </c>
      <c r="E21" s="10">
        <v>5.1782237000000003E-9</v>
      </c>
      <c r="F21" s="10">
        <v>4.0380027000000004E-9</v>
      </c>
      <c r="G21" s="10">
        <v>4.9260138E-9</v>
      </c>
      <c r="H21" s="10">
        <v>5.7424222E-9</v>
      </c>
      <c r="J21" s="230">
        <f t="shared" si="1"/>
        <v>0.12793522914424507</v>
      </c>
      <c r="K21" s="230">
        <f t="shared" si="2"/>
        <v>-0.29976268550926127</v>
      </c>
      <c r="L21" s="230">
        <f t="shared" si="3"/>
        <v>-9.8250961066568693E-2</v>
      </c>
      <c r="M21" s="230">
        <f t="shared" si="4"/>
        <v>-0.29681194461807414</v>
      </c>
      <c r="N21" s="230">
        <f t="shared" si="5"/>
        <v>-0.14217143420767633</v>
      </c>
      <c r="O21" s="230"/>
      <c r="P21" s="230"/>
    </row>
    <row r="22" spans="1:16" x14ac:dyDescent="0.3">
      <c r="A22" t="s">
        <v>1029</v>
      </c>
      <c r="B22" t="s">
        <v>405</v>
      </c>
      <c r="C22" s="143">
        <v>6.7353167000000005E-2</v>
      </c>
      <c r="D22" s="10">
        <v>4.9169590999999999E-2</v>
      </c>
      <c r="E22" s="10">
        <v>9.4412308E-2</v>
      </c>
      <c r="F22" s="10">
        <v>4.5700827999999999E-2</v>
      </c>
      <c r="G22" s="10">
        <v>8.1394274000000003E-2</v>
      </c>
      <c r="H22" s="10">
        <v>7.7720701000000003E-2</v>
      </c>
      <c r="J22" s="230">
        <f t="shared" si="1"/>
        <v>-0.13339475669422998</v>
      </c>
      <c r="K22" s="230">
        <f t="shared" si="2"/>
        <v>-0.36735528157421021</v>
      </c>
      <c r="L22" s="230">
        <f t="shared" si="3"/>
        <v>0.21476397903307637</v>
      </c>
      <c r="M22" s="230">
        <f t="shared" si="4"/>
        <v>-0.41198641530523511</v>
      </c>
      <c r="N22" s="230">
        <f t="shared" si="5"/>
        <v>4.726633898991723E-2</v>
      </c>
      <c r="O22" s="230"/>
      <c r="P22" s="230"/>
    </row>
    <row r="23" spans="1:16" x14ac:dyDescent="0.3">
      <c r="A23" t="s">
        <v>1030</v>
      </c>
      <c r="B23" t="s">
        <v>406</v>
      </c>
      <c r="C23" s="143">
        <v>2.5323164999999998E-4</v>
      </c>
      <c r="D23" s="10">
        <v>1.7184724E-4</v>
      </c>
      <c r="E23" s="10">
        <v>2.4058632000000001E-4</v>
      </c>
      <c r="F23" s="10">
        <v>1.6064006000000001E-4</v>
      </c>
      <c r="G23" s="10">
        <v>1.7552101E-4</v>
      </c>
      <c r="H23" s="10">
        <v>1.6620907E-4</v>
      </c>
      <c r="J23" s="230">
        <f t="shared" si="1"/>
        <v>0.52357299153409609</v>
      </c>
      <c r="K23" s="230">
        <f t="shared" si="2"/>
        <v>3.3922155993051407E-2</v>
      </c>
      <c r="L23" s="230">
        <f t="shared" si="3"/>
        <v>0.44749212542973749</v>
      </c>
      <c r="M23" s="230">
        <f t="shared" si="4"/>
        <v>-3.3506053550507127E-2</v>
      </c>
      <c r="N23" s="230">
        <f t="shared" si="5"/>
        <v>5.6025462389026087E-2</v>
      </c>
      <c r="O23" s="230"/>
      <c r="P23" s="230"/>
    </row>
    <row r="24" spans="1:16" x14ac:dyDescent="0.3">
      <c r="A24" t="s">
        <v>1031</v>
      </c>
      <c r="B24" t="s">
        <v>407</v>
      </c>
      <c r="C24" s="143">
        <v>1.6557952000000001E-2</v>
      </c>
      <c r="D24" s="10">
        <v>8.8883820000000002E-3</v>
      </c>
      <c r="E24" s="10">
        <v>2.0395094999999999E-2</v>
      </c>
      <c r="F24" s="10">
        <v>8.1287548000000005E-3</v>
      </c>
      <c r="G24" s="10">
        <v>1.7375813E-2</v>
      </c>
      <c r="H24" s="10">
        <v>1.6448257000000001E-2</v>
      </c>
      <c r="J24" s="230">
        <f t="shared" si="1"/>
        <v>6.6690956981034482E-3</v>
      </c>
      <c r="K24" s="230">
        <f t="shared" si="2"/>
        <v>-0.45961556899311584</v>
      </c>
      <c r="L24" s="230">
        <f t="shared" si="3"/>
        <v>0.23995478669867557</v>
      </c>
      <c r="M24" s="230">
        <f t="shared" si="4"/>
        <v>-0.50579840769754514</v>
      </c>
      <c r="N24" s="230">
        <f t="shared" si="5"/>
        <v>5.6392358169014473E-2</v>
      </c>
      <c r="O24" s="230"/>
      <c r="P24" s="230"/>
    </row>
    <row r="25" spans="1:16" x14ac:dyDescent="0.3">
      <c r="A25" t="s">
        <v>1032</v>
      </c>
      <c r="B25" t="s">
        <v>408</v>
      </c>
      <c r="C25" s="143">
        <v>0.23431399</v>
      </c>
      <c r="D25" s="10">
        <v>9.8993002999999996E-2</v>
      </c>
      <c r="E25" s="10">
        <v>0.22545082999999999</v>
      </c>
      <c r="F25" s="10">
        <v>9.0714629000000005E-2</v>
      </c>
      <c r="G25" s="10">
        <v>0.19234406000000001</v>
      </c>
      <c r="H25" s="10">
        <v>0.18138781000000001</v>
      </c>
      <c r="J25" s="230">
        <f t="shared" si="1"/>
        <v>0.2917846574144094</v>
      </c>
      <c r="K25" s="230">
        <f t="shared" si="2"/>
        <v>-0.45424666078718307</v>
      </c>
      <c r="L25" s="230">
        <f t="shared" si="3"/>
        <v>0.24292161639748547</v>
      </c>
      <c r="M25" s="230">
        <f t="shared" si="4"/>
        <v>-0.49988574755933157</v>
      </c>
      <c r="N25" s="230">
        <f t="shared" si="5"/>
        <v>6.0402350080746882E-2</v>
      </c>
      <c r="O25" s="230"/>
      <c r="P25" s="230"/>
    </row>
    <row r="26" spans="1:16" x14ac:dyDescent="0.3">
      <c r="A26" t="s">
        <v>1033</v>
      </c>
      <c r="B26" t="s">
        <v>409</v>
      </c>
      <c r="C26" s="143">
        <v>2163.8425000000002</v>
      </c>
      <c r="D26" s="10">
        <v>156.97343000000001</v>
      </c>
      <c r="E26" s="10">
        <v>249.31557000000001</v>
      </c>
      <c r="F26" s="10">
        <v>140.25193999999999</v>
      </c>
      <c r="G26" s="10">
        <v>169.89333999999999</v>
      </c>
      <c r="H26" s="10">
        <v>195.76342</v>
      </c>
      <c r="J26" s="230">
        <f t="shared" si="1"/>
        <v>10.053354605267931</v>
      </c>
      <c r="K26" s="230">
        <f t="shared" si="2"/>
        <v>-0.19814728410445623</v>
      </c>
      <c r="L26" s="230">
        <f t="shared" si="3"/>
        <v>0.27355544769293472</v>
      </c>
      <c r="M26" s="230">
        <f t="shared" si="4"/>
        <v>-0.28356411018973826</v>
      </c>
      <c r="N26" s="230">
        <f t="shared" si="5"/>
        <v>-0.13214971418051444</v>
      </c>
      <c r="O26" s="230"/>
      <c r="P26" s="230"/>
    </row>
    <row r="27" spans="1:16" x14ac:dyDescent="0.3">
      <c r="A27" t="s">
        <v>410</v>
      </c>
      <c r="B27" t="s">
        <v>411</v>
      </c>
      <c r="C27" s="143">
        <v>74.993798999999996</v>
      </c>
      <c r="D27" s="10">
        <v>16.798211999999999</v>
      </c>
      <c r="E27" s="10">
        <v>26.663029000000002</v>
      </c>
      <c r="F27" s="10">
        <v>16.043786000000001</v>
      </c>
      <c r="G27" s="10">
        <v>21.357464</v>
      </c>
      <c r="H27" s="10">
        <v>19.248811</v>
      </c>
      <c r="J27" s="230">
        <f t="shared" si="1"/>
        <v>2.8960224088646305</v>
      </c>
      <c r="K27" s="230">
        <f t="shared" si="2"/>
        <v>-0.12731170772054443</v>
      </c>
      <c r="L27" s="230">
        <f t="shared" si="3"/>
        <v>0.38517797281089217</v>
      </c>
      <c r="M27" s="230">
        <f t="shared" si="4"/>
        <v>-0.16650508958709184</v>
      </c>
      <c r="N27" s="230">
        <f t="shared" si="5"/>
        <v>0.10954718190126135</v>
      </c>
      <c r="O27" s="230"/>
      <c r="P27" s="230"/>
    </row>
    <row r="28" spans="1:16" x14ac:dyDescent="0.3">
      <c r="A28" t="s">
        <v>1034</v>
      </c>
      <c r="B28" t="s">
        <v>412</v>
      </c>
      <c r="C28" s="143">
        <v>3.4179574000000001</v>
      </c>
      <c r="D28" s="10">
        <v>4.5357675999999998</v>
      </c>
      <c r="E28" s="10">
        <v>7.0473347999999998</v>
      </c>
      <c r="F28" s="10">
        <v>7.5640945000000004</v>
      </c>
      <c r="G28" s="10">
        <v>7.6173479000000004</v>
      </c>
      <c r="H28" s="10">
        <v>6.3620520999999997</v>
      </c>
      <c r="J28" s="230">
        <f t="shared" si="1"/>
        <v>-0.46275865926970322</v>
      </c>
      <c r="K28" s="230">
        <f t="shared" si="2"/>
        <v>-0.28705902927138871</v>
      </c>
      <c r="L28" s="230">
        <f t="shared" si="3"/>
        <v>0.10771409746864541</v>
      </c>
      <c r="M28" s="230">
        <f t="shared" si="4"/>
        <v>0.18893941468979808</v>
      </c>
      <c r="N28" s="230">
        <f t="shared" si="5"/>
        <v>0.1973098899960283</v>
      </c>
      <c r="O28" s="230"/>
      <c r="P28" s="230"/>
    </row>
    <row r="29" spans="1:16" x14ac:dyDescent="0.3">
      <c r="A29" t="s">
        <v>1035</v>
      </c>
      <c r="B29" t="s">
        <v>21</v>
      </c>
      <c r="C29" s="143">
        <v>63.198219999999999</v>
      </c>
      <c r="D29" s="10">
        <v>68.640562000000003</v>
      </c>
      <c r="E29" s="10">
        <v>120.51087</v>
      </c>
      <c r="F29" s="10">
        <v>67.318787999999998</v>
      </c>
      <c r="G29" s="10">
        <v>97.895022999999995</v>
      </c>
      <c r="H29" s="10">
        <v>86.590159999999997</v>
      </c>
      <c r="J29" s="230">
        <f t="shared" si="1"/>
        <v>-0.27014547611414508</v>
      </c>
      <c r="K29" s="230">
        <f t="shared" si="2"/>
        <v>-0.20729373868809106</v>
      </c>
      <c r="L29" s="230">
        <f t="shared" si="3"/>
        <v>0.39173862249475</v>
      </c>
      <c r="M29" s="230">
        <f t="shared" si="4"/>
        <v>-0.22255845236918376</v>
      </c>
      <c r="N29" s="230">
        <f t="shared" si="5"/>
        <v>0.13055597772310384</v>
      </c>
      <c r="O29" s="230"/>
      <c r="P29" s="230"/>
    </row>
    <row r="30" spans="1:16" x14ac:dyDescent="0.3">
      <c r="A30" t="s">
        <v>1036</v>
      </c>
      <c r="B30" t="s">
        <v>413</v>
      </c>
      <c r="C30" s="143">
        <v>1.8164656000000001E-2</v>
      </c>
      <c r="D30" s="10">
        <v>5.3795606999999996E-4</v>
      </c>
      <c r="E30" s="10">
        <v>7.2492990999999997E-4</v>
      </c>
      <c r="F30" s="10">
        <v>5.5457802000000004E-4</v>
      </c>
      <c r="G30" s="10">
        <v>7.6071787000000005E-4</v>
      </c>
      <c r="H30" s="10">
        <v>7.2606253999999999E-4</v>
      </c>
      <c r="J30" s="230">
        <f t="shared" si="1"/>
        <v>24.018032193204739</v>
      </c>
      <c r="K30" s="230">
        <f t="shared" si="2"/>
        <v>-0.25907750315833677</v>
      </c>
      <c r="L30" s="230">
        <f t="shared" si="3"/>
        <v>-1.5599620385318585E-3</v>
      </c>
      <c r="M30" s="230">
        <f t="shared" si="4"/>
        <v>-0.2361842273256515</v>
      </c>
      <c r="N30" s="230">
        <f t="shared" si="5"/>
        <v>4.7730502664412443E-2</v>
      </c>
      <c r="O30" s="230"/>
      <c r="P30" s="230"/>
    </row>
    <row r="31" spans="1:16" x14ac:dyDescent="0.3">
      <c r="C31"/>
      <c r="D31"/>
      <c r="E31"/>
      <c r="F31"/>
      <c r="J31" s="230"/>
      <c r="K31" s="230"/>
      <c r="L31" s="230"/>
      <c r="M31" s="230"/>
      <c r="N31" s="230"/>
      <c r="O31" s="230"/>
      <c r="P31" s="230"/>
    </row>
    <row r="32" spans="1:16" x14ac:dyDescent="0.3">
      <c r="C32"/>
      <c r="D32"/>
      <c r="E32"/>
      <c r="F32"/>
      <c r="J32" s="230"/>
      <c r="K32" s="230"/>
      <c r="L32" s="230"/>
      <c r="M32" s="230"/>
      <c r="N32" s="230"/>
      <c r="O32" s="230"/>
      <c r="P32" s="230"/>
    </row>
    <row r="33" spans="1:14" x14ac:dyDescent="0.3">
      <c r="C33"/>
      <c r="D33"/>
      <c r="E33"/>
      <c r="F33"/>
    </row>
    <row r="34" spans="1:14" s="240" customFormat="1" x14ac:dyDescent="0.3">
      <c r="A34" s="241" t="s">
        <v>725</v>
      </c>
      <c r="B34" s="241"/>
      <c r="C34" s="241"/>
      <c r="D34" s="241"/>
      <c r="E34" s="241"/>
      <c r="F34" s="241"/>
      <c r="G34" s="241"/>
      <c r="H34" s="241"/>
      <c r="I34" s="241"/>
      <c r="J34" s="241"/>
      <c r="K34" s="241"/>
    </row>
    <row r="35" spans="1:14" ht="86.4" x14ac:dyDescent="0.3">
      <c r="A35" s="183" t="s">
        <v>395</v>
      </c>
      <c r="B35" s="183" t="s">
        <v>396</v>
      </c>
      <c r="C35" s="246" t="s">
        <v>729</v>
      </c>
      <c r="D35" s="246" t="s">
        <v>812</v>
      </c>
      <c r="E35" s="246" t="s">
        <v>813</v>
      </c>
      <c r="F35" s="367" t="s">
        <v>814</v>
      </c>
      <c r="G35" s="367" t="s">
        <v>815</v>
      </c>
      <c r="H35" s="367" t="s">
        <v>1050</v>
      </c>
      <c r="J35" s="246" t="s">
        <v>729</v>
      </c>
      <c r="K35" s="246" t="s">
        <v>812</v>
      </c>
      <c r="L35" s="246" t="s">
        <v>813</v>
      </c>
      <c r="M35" s="367" t="s">
        <v>814</v>
      </c>
      <c r="N35" s="367" t="s">
        <v>815</v>
      </c>
    </row>
    <row r="36" spans="1:14" x14ac:dyDescent="0.3">
      <c r="A36" t="s">
        <v>397</v>
      </c>
      <c r="B36" t="s">
        <v>398</v>
      </c>
      <c r="C36" s="10">
        <v>19.041073000000001</v>
      </c>
      <c r="D36" s="10">
        <v>19.48143</v>
      </c>
      <c r="E36" s="10">
        <v>22.078146</v>
      </c>
      <c r="F36" s="10">
        <v>19.276973000000002</v>
      </c>
      <c r="G36" s="10">
        <v>20.651150999999999</v>
      </c>
      <c r="H36" s="10">
        <v>21.205950000000001</v>
      </c>
      <c r="J36" s="230">
        <f>(C36-$H36)/$H36</f>
        <v>-0.10208818751341017</v>
      </c>
      <c r="K36" s="230">
        <f t="shared" ref="K36:K51" si="6">(D36-$H36)/$H36</f>
        <v>-8.1322459026829816E-2</v>
      </c>
      <c r="L36" s="230">
        <f t="shared" ref="L36:L51" si="7">(E36-$H36)/$H36</f>
        <v>4.1129777255911611E-2</v>
      </c>
      <c r="M36" s="230">
        <f t="shared" ref="M36:M51" si="8">(F36-$H36)/$H36</f>
        <v>-9.0963951155218215E-2</v>
      </c>
      <c r="N36" s="230">
        <f t="shared" ref="N36:N51" si="9">(G36-$H36)/$H36</f>
        <v>-2.6162421395881943E-2</v>
      </c>
    </row>
    <row r="37" spans="1:14" x14ac:dyDescent="0.3">
      <c r="A37" t="s">
        <v>399</v>
      </c>
      <c r="B37" t="s">
        <v>400</v>
      </c>
      <c r="C37" s="10">
        <v>1.6374397999999999E-6</v>
      </c>
      <c r="D37" s="10">
        <v>2.0189726000000002E-6</v>
      </c>
      <c r="E37" s="10">
        <v>2.2658265999999999E-6</v>
      </c>
      <c r="F37" s="10">
        <v>2.0541503999999998E-6</v>
      </c>
      <c r="G37" s="10">
        <v>2.3103102999999998E-6</v>
      </c>
      <c r="H37" s="10">
        <v>1.9725939999999998E-6</v>
      </c>
      <c r="J37" s="230">
        <f t="shared" ref="J37:J51" si="10">(C37-$H37)/$H37</f>
        <v>-0.16990531249714838</v>
      </c>
      <c r="K37" s="230">
        <f t="shared" si="6"/>
        <v>2.3511477780019812E-2</v>
      </c>
      <c r="L37" s="230">
        <f t="shared" si="7"/>
        <v>0.14865329611668704</v>
      </c>
      <c r="M37" s="230">
        <f t="shared" si="8"/>
        <v>4.1344747069087723E-2</v>
      </c>
      <c r="N37" s="230">
        <f t="shared" si="9"/>
        <v>0.1712041606128783</v>
      </c>
    </row>
    <row r="38" spans="1:14" x14ac:dyDescent="0.3">
      <c r="A38" t="s">
        <v>1024</v>
      </c>
      <c r="B38" t="s">
        <v>401</v>
      </c>
      <c r="C38" s="10">
        <v>0.45817036999999999</v>
      </c>
      <c r="D38" s="10">
        <v>0.40682892999999998</v>
      </c>
      <c r="E38" s="10">
        <v>0.47626425</v>
      </c>
      <c r="F38" s="10">
        <v>0.40620128</v>
      </c>
      <c r="G38" s="10">
        <v>0.47279394000000002</v>
      </c>
      <c r="H38" s="10">
        <v>0.44296569000000002</v>
      </c>
      <c r="J38" s="230">
        <f t="shared" si="10"/>
        <v>3.4324735173055884E-2</v>
      </c>
      <c r="K38" s="230">
        <f t="shared" si="6"/>
        <v>-8.1579139910362003E-2</v>
      </c>
      <c r="L38" s="230">
        <f t="shared" si="7"/>
        <v>7.5171871663468962E-2</v>
      </c>
      <c r="M38" s="230">
        <f t="shared" si="8"/>
        <v>-8.2996066805986771E-2</v>
      </c>
      <c r="N38" s="230">
        <f t="shared" si="9"/>
        <v>6.7337608021063658E-2</v>
      </c>
    </row>
    <row r="39" spans="1:14" x14ac:dyDescent="0.3">
      <c r="A39" t="s">
        <v>1025</v>
      </c>
      <c r="B39" t="s">
        <v>402</v>
      </c>
      <c r="C39" s="10">
        <v>0.13077077000000001</v>
      </c>
      <c r="D39" s="10">
        <v>0.11931069</v>
      </c>
      <c r="E39" s="10">
        <v>0.13715137999999999</v>
      </c>
      <c r="F39" s="10">
        <v>0.1182541</v>
      </c>
      <c r="G39" s="10">
        <v>0.13297461999999999</v>
      </c>
      <c r="H39" s="10">
        <v>0.13309378999999999</v>
      </c>
      <c r="J39" s="230">
        <f t="shared" si="10"/>
        <v>-1.7454007433404528E-2</v>
      </c>
      <c r="K39" s="230">
        <f t="shared" si="6"/>
        <v>-0.10355930205308597</v>
      </c>
      <c r="L39" s="230">
        <f t="shared" si="7"/>
        <v>3.0486696637010639E-2</v>
      </c>
      <c r="M39" s="230">
        <f t="shared" si="8"/>
        <v>-0.11149798950048675</v>
      </c>
      <c r="N39" s="230">
        <f t="shared" si="9"/>
        <v>-8.9538362383400293E-4</v>
      </c>
    </row>
    <row r="40" spans="1:14" x14ac:dyDescent="0.3">
      <c r="A40" t="s">
        <v>1026</v>
      </c>
      <c r="B40" t="s">
        <v>403</v>
      </c>
      <c r="C40" s="10">
        <v>2.0275344999999999E-6</v>
      </c>
      <c r="D40" s="10">
        <v>2.3142228999999999E-6</v>
      </c>
      <c r="E40" s="10">
        <v>3.3130471000000001E-6</v>
      </c>
      <c r="F40" s="10">
        <v>2.2875072E-6</v>
      </c>
      <c r="G40" s="10">
        <v>1.1193493E-5</v>
      </c>
      <c r="H40" s="10">
        <v>1.1194785000000001E-5</v>
      </c>
      <c r="J40" s="230">
        <f t="shared" si="10"/>
        <v>-0.81888580263042121</v>
      </c>
      <c r="K40" s="230">
        <f t="shared" si="6"/>
        <v>-0.79327669982049676</v>
      </c>
      <c r="L40" s="230">
        <f t="shared" si="7"/>
        <v>-0.70405442355525361</v>
      </c>
      <c r="M40" s="230">
        <f t="shared" si="8"/>
        <v>-0.79566314136448357</v>
      </c>
      <c r="N40" s="230">
        <f t="shared" si="9"/>
        <v>-1.1541088104871469E-4</v>
      </c>
    </row>
    <row r="41" spans="1:14" x14ac:dyDescent="0.3">
      <c r="A41" t="s">
        <v>1027</v>
      </c>
      <c r="B41" t="s">
        <v>404</v>
      </c>
      <c r="C41" s="10">
        <v>5.0465477999999998E-7</v>
      </c>
      <c r="D41" s="10">
        <v>3.6601478000000001E-7</v>
      </c>
      <c r="E41" s="10">
        <v>3.8864461000000001E-7</v>
      </c>
      <c r="F41" s="10">
        <v>3.6411946000000001E-7</v>
      </c>
      <c r="G41" s="10">
        <v>3.7607921999999999E-7</v>
      </c>
      <c r="H41" s="10">
        <v>4.0090515999999997E-7</v>
      </c>
      <c r="J41" s="230">
        <f t="shared" si="10"/>
        <v>0.25878843764445442</v>
      </c>
      <c r="K41" s="230">
        <f t="shared" si="6"/>
        <v>-8.7029012048635057E-2</v>
      </c>
      <c r="L41" s="230">
        <f t="shared" si="7"/>
        <v>-3.0582170606135283E-2</v>
      </c>
      <c r="M41" s="230">
        <f t="shared" si="8"/>
        <v>-9.1756613958273739E-2</v>
      </c>
      <c r="N41" s="230">
        <f t="shared" si="9"/>
        <v>-6.1924720549867661E-2</v>
      </c>
    </row>
    <row r="42" spans="1:14" x14ac:dyDescent="0.3">
      <c r="A42" t="s">
        <v>1028</v>
      </c>
      <c r="B42" t="s">
        <v>404</v>
      </c>
      <c r="C42" s="10">
        <v>1.7999582999999998E-8</v>
      </c>
      <c r="D42" s="10">
        <v>1.6565479E-8</v>
      </c>
      <c r="E42" s="10">
        <v>1.7154264000000001E-8</v>
      </c>
      <c r="F42" s="10">
        <v>1.6574100999999999E-8</v>
      </c>
      <c r="G42" s="10">
        <v>1.7025935999999999E-8</v>
      </c>
      <c r="H42" s="10">
        <v>1.7625776E-8</v>
      </c>
      <c r="J42" s="230">
        <f t="shared" si="10"/>
        <v>2.1207974048915553E-2</v>
      </c>
      <c r="K42" s="230">
        <f t="shared" si="6"/>
        <v>-6.0156046462862094E-2</v>
      </c>
      <c r="L42" s="230">
        <f t="shared" si="7"/>
        <v>-2.6751276085659952E-2</v>
      </c>
      <c r="M42" s="230">
        <f t="shared" si="8"/>
        <v>-5.9666876510855504E-2</v>
      </c>
      <c r="N42" s="230">
        <f t="shared" si="9"/>
        <v>-3.4031976804879439E-2</v>
      </c>
    </row>
    <row r="43" spans="1:14" x14ac:dyDescent="0.3">
      <c r="A43" t="s">
        <v>1029</v>
      </c>
      <c r="B43" t="s">
        <v>405</v>
      </c>
      <c r="C43" s="10">
        <v>0.84935634999999998</v>
      </c>
      <c r="D43" s="10">
        <v>0.83951750999999997</v>
      </c>
      <c r="E43" s="10">
        <v>0.86253776000000004</v>
      </c>
      <c r="F43" s="10">
        <v>0.83775255000000004</v>
      </c>
      <c r="G43" s="10">
        <v>0.85591397000000002</v>
      </c>
      <c r="H43" s="10">
        <v>0.85463151999999998</v>
      </c>
      <c r="J43" s="230">
        <f t="shared" si="10"/>
        <v>-6.1724496189890067E-3</v>
      </c>
      <c r="K43" s="230">
        <f t="shared" si="6"/>
        <v>-1.768482632140693E-2</v>
      </c>
      <c r="L43" s="230">
        <f t="shared" si="7"/>
        <v>9.2510512600799746E-3</v>
      </c>
      <c r="M43" s="230">
        <f t="shared" si="8"/>
        <v>-1.974999705136073E-2</v>
      </c>
      <c r="N43" s="230">
        <f t="shared" si="9"/>
        <v>1.5005882301182222E-3</v>
      </c>
    </row>
    <row r="44" spans="1:14" x14ac:dyDescent="0.3">
      <c r="A44" t="s">
        <v>1030</v>
      </c>
      <c r="B44" t="s">
        <v>406</v>
      </c>
      <c r="C44" s="10">
        <v>7.8986553999999996E-4</v>
      </c>
      <c r="D44" s="10">
        <v>7.4285431999999995E-4</v>
      </c>
      <c r="E44" s="10">
        <v>7.7782991000000001E-4</v>
      </c>
      <c r="F44" s="10">
        <v>7.3715192000000003E-4</v>
      </c>
      <c r="G44" s="10">
        <v>7.4472359000000001E-4</v>
      </c>
      <c r="H44" s="10">
        <v>7.4558700999999999E-4</v>
      </c>
      <c r="J44" s="230">
        <f t="shared" si="10"/>
        <v>5.938747511172434E-2</v>
      </c>
      <c r="K44" s="230">
        <f t="shared" si="6"/>
        <v>-3.6651523743688012E-3</v>
      </c>
      <c r="L44" s="230">
        <f t="shared" si="7"/>
        <v>4.3244986255863038E-2</v>
      </c>
      <c r="M44" s="230">
        <f t="shared" si="8"/>
        <v>-1.1313354292478837E-2</v>
      </c>
      <c r="N44" s="230">
        <f t="shared" si="9"/>
        <v>-1.1580405618922783E-3</v>
      </c>
    </row>
    <row r="45" spans="1:14" x14ac:dyDescent="0.3">
      <c r="A45" t="s">
        <v>1031</v>
      </c>
      <c r="B45" t="s">
        <v>407</v>
      </c>
      <c r="C45" s="10">
        <v>2.9836806E-2</v>
      </c>
      <c r="D45" s="10">
        <v>2.5872789E-2</v>
      </c>
      <c r="E45" s="10">
        <v>3.1727595999999997E-2</v>
      </c>
      <c r="F45" s="10">
        <v>2.5486278000000001E-2</v>
      </c>
      <c r="G45" s="10">
        <v>3.0191335E-2</v>
      </c>
      <c r="H45" s="10">
        <v>2.9780991E-2</v>
      </c>
      <c r="J45" s="230">
        <f t="shared" si="10"/>
        <v>1.8741820915227679E-3</v>
      </c>
      <c r="K45" s="230">
        <f t="shared" si="6"/>
        <v>-0.13123142879966618</v>
      </c>
      <c r="L45" s="230">
        <f t="shared" si="7"/>
        <v>6.5364010217121293E-2</v>
      </c>
      <c r="M45" s="230">
        <f t="shared" si="8"/>
        <v>-0.14420987535303975</v>
      </c>
      <c r="N45" s="230">
        <f t="shared" si="9"/>
        <v>1.3778722138561473E-2</v>
      </c>
    </row>
    <row r="46" spans="1:14" x14ac:dyDescent="0.3">
      <c r="A46" t="s">
        <v>1032</v>
      </c>
      <c r="B46" t="s">
        <v>408</v>
      </c>
      <c r="C46" s="10">
        <v>0.45245002000000001</v>
      </c>
      <c r="D46" s="10">
        <v>0.38281254999999997</v>
      </c>
      <c r="E46" s="10">
        <v>0.44715640000000001</v>
      </c>
      <c r="F46" s="10">
        <v>0.37860038000000001</v>
      </c>
      <c r="G46" s="10">
        <v>0.43031111999999999</v>
      </c>
      <c r="H46" s="10">
        <v>0.42552030000000002</v>
      </c>
      <c r="J46" s="230">
        <f t="shared" si="10"/>
        <v>6.3286569406911936E-2</v>
      </c>
      <c r="K46" s="230">
        <f t="shared" si="6"/>
        <v>-0.10036595198865964</v>
      </c>
      <c r="L46" s="230">
        <f t="shared" si="7"/>
        <v>5.0846222847652604E-2</v>
      </c>
      <c r="M46" s="230">
        <f t="shared" si="8"/>
        <v>-0.11026482167830771</v>
      </c>
      <c r="N46" s="230">
        <f t="shared" si="9"/>
        <v>1.1258734307152851E-2</v>
      </c>
    </row>
    <row r="47" spans="1:14" x14ac:dyDescent="0.3">
      <c r="A47" t="s">
        <v>1033</v>
      </c>
      <c r="B47" t="s">
        <v>409</v>
      </c>
      <c r="C47" s="10">
        <v>2580.1694000000002</v>
      </c>
      <c r="D47" s="10">
        <v>1554.4831999999999</v>
      </c>
      <c r="E47" s="10">
        <v>1601.4684999999999</v>
      </c>
      <c r="F47" s="10">
        <v>1545.9751000000001</v>
      </c>
      <c r="G47" s="10">
        <v>1561.0571</v>
      </c>
      <c r="H47" s="10">
        <v>1578.778</v>
      </c>
      <c r="J47" s="230">
        <f t="shared" si="10"/>
        <v>0.63428259071256388</v>
      </c>
      <c r="K47" s="230">
        <f t="shared" si="6"/>
        <v>-1.5388357324462415E-2</v>
      </c>
      <c r="L47" s="230">
        <f t="shared" si="7"/>
        <v>1.4372191657091705E-2</v>
      </c>
      <c r="M47" s="230">
        <f t="shared" si="8"/>
        <v>-2.0777398722302887E-2</v>
      </c>
      <c r="N47" s="230">
        <f t="shared" si="9"/>
        <v>-1.122444067500309E-2</v>
      </c>
    </row>
    <row r="48" spans="1:14" x14ac:dyDescent="0.3">
      <c r="A48" t="s">
        <v>410</v>
      </c>
      <c r="B48" t="s">
        <v>411</v>
      </c>
      <c r="C48" s="10">
        <v>104.61938000000001</v>
      </c>
      <c r="D48" s="10">
        <v>74.203507999999999</v>
      </c>
      <c r="E48" s="10">
        <v>79.222892000000002</v>
      </c>
      <c r="F48" s="10">
        <v>73.819643999999997</v>
      </c>
      <c r="G48" s="10">
        <v>76.523331999999996</v>
      </c>
      <c r="H48" s="10">
        <v>76.255398</v>
      </c>
      <c r="J48" s="230">
        <f t="shared" si="10"/>
        <v>0.37196031682898051</v>
      </c>
      <c r="K48" s="230">
        <f t="shared" si="6"/>
        <v>-2.6908127867878943E-2</v>
      </c>
      <c r="L48" s="230">
        <f t="shared" si="7"/>
        <v>3.8915199157441967E-2</v>
      </c>
      <c r="M48" s="230">
        <f t="shared" si="8"/>
        <v>-3.1942053466169081E-2</v>
      </c>
      <c r="N48" s="230">
        <f t="shared" si="9"/>
        <v>3.5136397819338218E-3</v>
      </c>
    </row>
    <row r="49" spans="1:21" x14ac:dyDescent="0.3">
      <c r="A49" t="s">
        <v>1034</v>
      </c>
      <c r="B49" t="s">
        <v>412</v>
      </c>
      <c r="C49" s="10">
        <v>5.9865922999999999</v>
      </c>
      <c r="D49" s="10">
        <v>6.5426072</v>
      </c>
      <c r="E49" s="10">
        <v>7.8205344999999999</v>
      </c>
      <c r="F49" s="10">
        <v>8.0834703999999995</v>
      </c>
      <c r="G49" s="10">
        <v>8.1105666000000003</v>
      </c>
      <c r="H49" s="10">
        <v>7.4845968000000003</v>
      </c>
      <c r="J49" s="230">
        <f t="shared" si="10"/>
        <v>-0.20014498309381212</v>
      </c>
      <c r="K49" s="230">
        <f t="shared" si="6"/>
        <v>-0.12585709359788094</v>
      </c>
      <c r="L49" s="230">
        <f t="shared" si="7"/>
        <v>4.4883874038478551E-2</v>
      </c>
      <c r="M49" s="230">
        <f t="shared" si="8"/>
        <v>8.0014143180030653E-2</v>
      </c>
      <c r="N49" s="230">
        <f t="shared" si="9"/>
        <v>8.3634404995603776E-2</v>
      </c>
      <c r="O49" s="9"/>
      <c r="U49" s="9"/>
    </row>
    <row r="50" spans="1:21" x14ac:dyDescent="0.3">
      <c r="A50" t="s">
        <v>1035</v>
      </c>
      <c r="B50" t="s">
        <v>21</v>
      </c>
      <c r="C50" s="10">
        <v>214.28862000000001</v>
      </c>
      <c r="D50" s="10">
        <v>216.47651999999999</v>
      </c>
      <c r="E50" s="10">
        <v>242.869</v>
      </c>
      <c r="F50" s="10">
        <v>215.80398</v>
      </c>
      <c r="G50" s="10">
        <v>231.36168000000001</v>
      </c>
      <c r="H50" s="10">
        <v>226.19083000000001</v>
      </c>
      <c r="J50" s="230">
        <f t="shared" si="10"/>
        <v>-5.2620214533011779E-2</v>
      </c>
      <c r="K50" s="230">
        <f t="shared" si="6"/>
        <v>-4.2947408610685106E-2</v>
      </c>
      <c r="L50" s="230">
        <f t="shared" si="7"/>
        <v>7.3734952031432904E-2</v>
      </c>
      <c r="M50" s="230">
        <f t="shared" si="8"/>
        <v>-4.5920738696612985E-2</v>
      </c>
      <c r="N50" s="230">
        <f t="shared" si="9"/>
        <v>2.2860564241264782E-2</v>
      </c>
      <c r="O50" s="9"/>
      <c r="P50" s="9"/>
      <c r="R50" s="9"/>
      <c r="S50" s="9"/>
      <c r="U50" s="9"/>
    </row>
    <row r="51" spans="1:21" x14ac:dyDescent="0.3">
      <c r="A51" t="s">
        <v>1036</v>
      </c>
      <c r="B51" t="s">
        <v>413</v>
      </c>
      <c r="C51" s="10">
        <v>1.01595E-2</v>
      </c>
      <c r="D51" s="10">
        <v>1.1775461000000001E-3</v>
      </c>
      <c r="E51" s="10">
        <v>1.2726816000000001E-3</v>
      </c>
      <c r="F51" s="10">
        <v>1.1860036999999999E-3</v>
      </c>
      <c r="G51" s="10">
        <v>1.2908911E-3</v>
      </c>
      <c r="H51" s="10">
        <v>1.2864529999999999E-3</v>
      </c>
      <c r="J51" s="230">
        <f t="shared" si="10"/>
        <v>6.8972958981012136</v>
      </c>
      <c r="K51" s="230">
        <f t="shared" si="6"/>
        <v>-8.4656726674040839E-2</v>
      </c>
      <c r="L51" s="230">
        <f t="shared" si="7"/>
        <v>-1.0704938307112503E-2</v>
      </c>
      <c r="M51" s="230">
        <f t="shared" si="8"/>
        <v>-7.8082370673471915E-2</v>
      </c>
      <c r="N51" s="230">
        <f t="shared" si="9"/>
        <v>3.4498734116210146E-3</v>
      </c>
    </row>
    <row r="54" spans="1:21" x14ac:dyDescent="0.3">
      <c r="C54"/>
      <c r="D54"/>
      <c r="E54"/>
      <c r="F54"/>
    </row>
    <row r="55" spans="1:21" s="240" customFormat="1" x14ac:dyDescent="0.3">
      <c r="A55" s="241" t="s">
        <v>727</v>
      </c>
      <c r="B55" s="241"/>
      <c r="C55" s="241"/>
      <c r="D55" s="241"/>
      <c r="E55" s="241"/>
      <c r="F55" s="241"/>
      <c r="G55" s="241"/>
      <c r="H55" s="241"/>
      <c r="I55" s="241"/>
      <c r="J55" s="241"/>
      <c r="K55" s="241"/>
    </row>
    <row r="56" spans="1:21" ht="86.4" x14ac:dyDescent="0.3">
      <c r="A56" s="183" t="s">
        <v>395</v>
      </c>
      <c r="B56" s="183" t="s">
        <v>396</v>
      </c>
      <c r="C56" s="246" t="s">
        <v>729</v>
      </c>
      <c r="D56" s="246" t="s">
        <v>812</v>
      </c>
      <c r="E56" s="246" t="s">
        <v>813</v>
      </c>
      <c r="F56" s="367" t="s">
        <v>814</v>
      </c>
      <c r="G56" s="367" t="s">
        <v>815</v>
      </c>
      <c r="H56" s="367" t="s">
        <v>1050</v>
      </c>
      <c r="J56" s="246" t="s">
        <v>729</v>
      </c>
      <c r="K56" s="246" t="s">
        <v>812</v>
      </c>
      <c r="L56" s="246" t="s">
        <v>813</v>
      </c>
      <c r="M56" s="367" t="s">
        <v>814</v>
      </c>
      <c r="N56" s="367" t="s">
        <v>815</v>
      </c>
    </row>
    <row r="57" spans="1:21" x14ac:dyDescent="0.3">
      <c r="A57" t="s">
        <v>397</v>
      </c>
      <c r="B57" t="s">
        <v>398</v>
      </c>
      <c r="C57" s="10">
        <v>13.632797</v>
      </c>
      <c r="D57" s="10">
        <v>13.814162</v>
      </c>
      <c r="E57" s="10">
        <v>14.883641000000001</v>
      </c>
      <c r="F57" s="10">
        <v>13.729955</v>
      </c>
      <c r="G57" s="10">
        <v>14.295921</v>
      </c>
      <c r="H57" s="10">
        <v>14.524419999999999</v>
      </c>
      <c r="J57" s="230">
        <f>(C57-$H57)/$H57</f>
        <v>-6.138785576291509E-2</v>
      </c>
      <c r="K57" s="230">
        <f t="shared" ref="K57:K72" si="11">(D57-$H57)/$H57</f>
        <v>-4.890095439267108E-2</v>
      </c>
      <c r="L57" s="230">
        <f t="shared" ref="L57:L72" si="12">(E57-$H57)/$H57</f>
        <v>2.4732209616631962E-2</v>
      </c>
      <c r="M57" s="230">
        <f t="shared" ref="M57:M72" si="13">(F57-$H57)/$H57</f>
        <v>-5.4698569719135011E-2</v>
      </c>
      <c r="N57" s="230">
        <f t="shared" ref="N57:N72" si="14">(G57-$H57)/$H57</f>
        <v>-1.5732056770597337E-2</v>
      </c>
    </row>
    <row r="58" spans="1:21" x14ac:dyDescent="0.3">
      <c r="A58" t="s">
        <v>399</v>
      </c>
      <c r="B58" t="s">
        <v>400</v>
      </c>
      <c r="C58" s="10">
        <v>1.0857674E-6</v>
      </c>
      <c r="D58" s="10">
        <v>1.2429048E-6</v>
      </c>
      <c r="E58" s="10">
        <v>1.3445736999999999E-6</v>
      </c>
      <c r="F58" s="10">
        <v>1.2573931E-6</v>
      </c>
      <c r="G58" s="10">
        <v>1.3628946E-6</v>
      </c>
      <c r="H58" s="10">
        <v>1.2238034000000001E-6</v>
      </c>
      <c r="J58" s="230">
        <f t="shared" ref="J58:J72" si="15">(C58-$H58)/$H58</f>
        <v>-0.11279262665882456</v>
      </c>
      <c r="K58" s="230">
        <f t="shared" si="11"/>
        <v>1.5608225961784341E-2</v>
      </c>
      <c r="L58" s="230">
        <f t="shared" si="12"/>
        <v>9.8684396529703872E-2</v>
      </c>
      <c r="M58" s="230">
        <f t="shared" si="13"/>
        <v>2.7446973917542545E-2</v>
      </c>
      <c r="N58" s="230">
        <f t="shared" si="14"/>
        <v>0.11365485665426318</v>
      </c>
    </row>
    <row r="59" spans="1:21" x14ac:dyDescent="0.3">
      <c r="A59" t="s">
        <v>1024</v>
      </c>
      <c r="B59" t="s">
        <v>401</v>
      </c>
      <c r="C59" s="10">
        <v>0.31641267000000001</v>
      </c>
      <c r="D59" s="10">
        <v>0.29526727000000003</v>
      </c>
      <c r="E59" s="10">
        <v>0.32386479000000001</v>
      </c>
      <c r="F59" s="10">
        <v>0.29500876999999998</v>
      </c>
      <c r="G59" s="10">
        <v>0.32243550999999998</v>
      </c>
      <c r="H59" s="10">
        <v>0.3101505</v>
      </c>
      <c r="J59" s="230">
        <f t="shared" si="15"/>
        <v>2.0190746105519776E-2</v>
      </c>
      <c r="K59" s="230">
        <f t="shared" si="11"/>
        <v>-4.7987122380908527E-2</v>
      </c>
      <c r="L59" s="230">
        <f t="shared" si="12"/>
        <v>4.4218177949092517E-2</v>
      </c>
      <c r="M59" s="230">
        <f t="shared" si="13"/>
        <v>-4.8820588714188824E-2</v>
      </c>
      <c r="N59" s="230">
        <f t="shared" si="14"/>
        <v>3.9609834580308548E-2</v>
      </c>
    </row>
    <row r="60" spans="1:21" x14ac:dyDescent="0.3">
      <c r="A60" t="s">
        <v>1025</v>
      </c>
      <c r="B60" t="s">
        <v>402</v>
      </c>
      <c r="C60" s="10">
        <v>8.7949073000000003E-2</v>
      </c>
      <c r="D60" s="10">
        <v>8.3229146000000004E-2</v>
      </c>
      <c r="E60" s="10">
        <v>9.0576980000000001E-2</v>
      </c>
      <c r="F60" s="10">
        <v>8.2793981000000003E-2</v>
      </c>
      <c r="G60" s="10">
        <v>8.8856747E-2</v>
      </c>
      <c r="H60" s="10">
        <v>8.8905828000000006E-2</v>
      </c>
      <c r="J60" s="230">
        <f t="shared" si="15"/>
        <v>-1.0761442995615581E-2</v>
      </c>
      <c r="K60" s="230">
        <f t="shared" si="11"/>
        <v>-6.3850504828547372E-2</v>
      </c>
      <c r="L60" s="230">
        <f t="shared" si="12"/>
        <v>1.879687797294903E-2</v>
      </c>
      <c r="M60" s="230">
        <f t="shared" si="13"/>
        <v>-6.8745178325092512E-2</v>
      </c>
      <c r="N60" s="230">
        <f t="shared" si="14"/>
        <v>-5.5205604743939138E-4</v>
      </c>
    </row>
    <row r="61" spans="1:21" x14ac:dyDescent="0.3">
      <c r="A61" t="s">
        <v>1026</v>
      </c>
      <c r="B61" t="s">
        <v>403</v>
      </c>
      <c r="C61" s="10">
        <v>1.5057551E-6</v>
      </c>
      <c r="D61" s="10">
        <v>1.62383E-6</v>
      </c>
      <c r="E61" s="10">
        <v>2.0352040000000001E-6</v>
      </c>
      <c r="F61" s="10">
        <v>1.6128269999999999E-6</v>
      </c>
      <c r="G61" s="10">
        <v>5.2808306000000004E-6</v>
      </c>
      <c r="H61" s="10">
        <v>5.2813627999999997E-6</v>
      </c>
      <c r="J61" s="230">
        <f t="shared" si="15"/>
        <v>-0.71489269777111308</v>
      </c>
      <c r="K61" s="230">
        <f t="shared" si="11"/>
        <v>-0.69253579776795482</v>
      </c>
      <c r="L61" s="230">
        <f t="shared" si="12"/>
        <v>-0.61464415964758179</v>
      </c>
      <c r="M61" s="230">
        <f t="shared" si="13"/>
        <v>-0.69461916155428671</v>
      </c>
      <c r="N61" s="230">
        <f t="shared" si="14"/>
        <v>-1.0076944534075884E-4</v>
      </c>
    </row>
    <row r="62" spans="1:21" x14ac:dyDescent="0.3">
      <c r="A62" t="s">
        <v>1027</v>
      </c>
      <c r="B62" t="s">
        <v>404</v>
      </c>
      <c r="C62" s="10">
        <v>1.4360988E-6</v>
      </c>
      <c r="D62" s="10">
        <v>1.3789987999999999E-6</v>
      </c>
      <c r="E62" s="10">
        <v>1.388319E-6</v>
      </c>
      <c r="F62" s="10">
        <v>1.3782181999999999E-6</v>
      </c>
      <c r="G62" s="10">
        <v>1.3831438999999999E-6</v>
      </c>
      <c r="H62" s="10">
        <v>1.3933687E-6</v>
      </c>
      <c r="J62" s="230">
        <f t="shared" si="15"/>
        <v>3.0666757477758724E-2</v>
      </c>
      <c r="K62" s="230">
        <f t="shared" si="11"/>
        <v>-1.0313063584677984E-2</v>
      </c>
      <c r="L62" s="230">
        <f t="shared" si="12"/>
        <v>-3.6240946132922551E-3</v>
      </c>
      <c r="M62" s="230">
        <f t="shared" si="13"/>
        <v>-1.0873288599062182E-2</v>
      </c>
      <c r="N62" s="230">
        <f t="shared" si="14"/>
        <v>-7.3381869421927561E-3</v>
      </c>
    </row>
    <row r="63" spans="1:21" x14ac:dyDescent="0.3">
      <c r="A63" t="s">
        <v>1028</v>
      </c>
      <c r="B63" t="s">
        <v>404</v>
      </c>
      <c r="C63" s="10">
        <v>2.2041181E-8</v>
      </c>
      <c r="D63" s="10">
        <v>2.1450533000000001E-8</v>
      </c>
      <c r="E63" s="10">
        <v>2.1693029E-8</v>
      </c>
      <c r="F63" s="10">
        <v>2.1454083999999998E-8</v>
      </c>
      <c r="G63" s="10">
        <v>2.1640176E-8</v>
      </c>
      <c r="H63" s="10">
        <v>2.1887225000000002E-8</v>
      </c>
      <c r="J63" s="230">
        <f t="shared" si="15"/>
        <v>7.034057538130049E-3</v>
      </c>
      <c r="K63" s="230">
        <f t="shared" si="11"/>
        <v>-1.9951912588279247E-2</v>
      </c>
      <c r="L63" s="230">
        <f t="shared" si="12"/>
        <v>-8.8725729278152539E-3</v>
      </c>
      <c r="M63" s="230">
        <f t="shared" si="13"/>
        <v>-1.9789671829115073E-2</v>
      </c>
      <c r="N63" s="230">
        <f t="shared" si="14"/>
        <v>-1.1287360549361612E-2</v>
      </c>
    </row>
    <row r="64" spans="1:21" x14ac:dyDescent="0.3">
      <c r="A64" t="s">
        <v>1029</v>
      </c>
      <c r="B64" t="s">
        <v>405</v>
      </c>
      <c r="C64" s="10">
        <v>0.48413041000000001</v>
      </c>
      <c r="D64" s="10">
        <v>0.48007820000000001</v>
      </c>
      <c r="E64" s="10">
        <v>0.48955927999999999</v>
      </c>
      <c r="F64" s="10">
        <v>0.47935128999999999</v>
      </c>
      <c r="G64" s="10">
        <v>0.48683122000000001</v>
      </c>
      <c r="H64" s="10">
        <v>0.48630303000000003</v>
      </c>
      <c r="J64" s="230">
        <f t="shared" si="15"/>
        <v>-4.4676258751667943E-3</v>
      </c>
      <c r="K64" s="230">
        <f t="shared" si="11"/>
        <v>-1.2800310950149774E-2</v>
      </c>
      <c r="L64" s="230">
        <f t="shared" si="12"/>
        <v>6.6959278456479292E-3</v>
      </c>
      <c r="M64" s="230">
        <f t="shared" si="13"/>
        <v>-1.4295078523364412E-2</v>
      </c>
      <c r="N64" s="230">
        <f t="shared" si="14"/>
        <v>1.0861334752530411E-3</v>
      </c>
    </row>
    <row r="65" spans="1:14" x14ac:dyDescent="0.3">
      <c r="A65" t="s">
        <v>1030</v>
      </c>
      <c r="B65" t="s">
        <v>406</v>
      </c>
      <c r="C65" s="10">
        <v>1.17519E-3</v>
      </c>
      <c r="D65" s="10">
        <v>1.155828E-3</v>
      </c>
      <c r="E65" s="10">
        <v>1.1702329999999999E-3</v>
      </c>
      <c r="F65" s="10">
        <v>1.1534795E-3</v>
      </c>
      <c r="G65" s="10">
        <v>1.1565979E-3</v>
      </c>
      <c r="H65" s="10">
        <v>1.1569535E-3</v>
      </c>
      <c r="J65" s="230">
        <f t="shared" si="15"/>
        <v>1.5762517681134104E-2</v>
      </c>
      <c r="K65" s="230">
        <f t="shared" si="11"/>
        <v>-9.7281351411270596E-4</v>
      </c>
      <c r="L65" s="230">
        <f t="shared" si="12"/>
        <v>1.147798939196769E-2</v>
      </c>
      <c r="M65" s="230">
        <f t="shared" si="13"/>
        <v>-3.0027135922057846E-3</v>
      </c>
      <c r="N65" s="230">
        <f t="shared" si="14"/>
        <v>-3.0735893879922389E-4</v>
      </c>
    </row>
    <row r="66" spans="1:14" x14ac:dyDescent="0.3">
      <c r="A66" t="s">
        <v>1031</v>
      </c>
      <c r="B66" t="s">
        <v>407</v>
      </c>
      <c r="C66" s="10">
        <v>2.1703182000000001E-2</v>
      </c>
      <c r="D66" s="10">
        <v>2.0070568E-2</v>
      </c>
      <c r="E66" s="10">
        <v>2.2481919E-2</v>
      </c>
      <c r="F66" s="10">
        <v>1.9911380999999999E-2</v>
      </c>
      <c r="G66" s="10">
        <v>2.1849197000000001E-2</v>
      </c>
      <c r="H66" s="10">
        <v>2.1680194E-2</v>
      </c>
      <c r="J66" s="230">
        <f t="shared" si="15"/>
        <v>1.0603226151943827E-3</v>
      </c>
      <c r="K66" s="230">
        <f t="shared" si="11"/>
        <v>-7.4244077336208317E-2</v>
      </c>
      <c r="L66" s="230">
        <f t="shared" si="12"/>
        <v>3.6979604518299035E-2</v>
      </c>
      <c r="M66" s="230">
        <f t="shared" si="13"/>
        <v>-8.158658543369128E-2</v>
      </c>
      <c r="N66" s="230">
        <f t="shared" si="14"/>
        <v>7.7952715736769197E-3</v>
      </c>
    </row>
    <row r="67" spans="1:14" x14ac:dyDescent="0.3">
      <c r="A67" t="s">
        <v>1032</v>
      </c>
      <c r="B67" t="s">
        <v>408</v>
      </c>
      <c r="C67" s="10">
        <v>0.30657991000000001</v>
      </c>
      <c r="D67" s="10">
        <v>0.27789913999999999</v>
      </c>
      <c r="E67" s="10">
        <v>0.30439969</v>
      </c>
      <c r="F67" s="10">
        <v>0.27616433000000001</v>
      </c>
      <c r="G67" s="10">
        <v>0.29746181999999999</v>
      </c>
      <c r="H67" s="10">
        <v>0.29548868</v>
      </c>
      <c r="J67" s="230">
        <f t="shared" si="15"/>
        <v>3.7535211162742367E-2</v>
      </c>
      <c r="K67" s="230">
        <f t="shared" si="11"/>
        <v>-5.9526950406357408E-2</v>
      </c>
      <c r="L67" s="230">
        <f t="shared" si="12"/>
        <v>3.0156857447127913E-2</v>
      </c>
      <c r="M67" s="230">
        <f t="shared" si="13"/>
        <v>-6.5397936733143175E-2</v>
      </c>
      <c r="N67" s="230">
        <f t="shared" si="14"/>
        <v>6.6775485274088477E-3</v>
      </c>
    </row>
    <row r="68" spans="1:14" x14ac:dyDescent="0.3">
      <c r="A68" t="s">
        <v>1033</v>
      </c>
      <c r="B68" t="s">
        <v>409</v>
      </c>
      <c r="C68" s="10">
        <v>2053.0353</v>
      </c>
      <c r="D68" s="10">
        <v>1630.598</v>
      </c>
      <c r="E68" s="10">
        <v>1649.9492</v>
      </c>
      <c r="F68" s="10">
        <v>1627.0938000000001</v>
      </c>
      <c r="G68" s="10">
        <v>1633.3054999999999</v>
      </c>
      <c r="H68" s="10">
        <v>1640.604</v>
      </c>
      <c r="J68" s="230">
        <f t="shared" si="15"/>
        <v>0.25138991493376828</v>
      </c>
      <c r="K68" s="230">
        <f t="shared" si="11"/>
        <v>-6.0989733049535933E-3</v>
      </c>
      <c r="L68" s="230">
        <f t="shared" si="12"/>
        <v>5.6961948160555364E-3</v>
      </c>
      <c r="M68" s="230">
        <f t="shared" si="13"/>
        <v>-8.2348939780714538E-3</v>
      </c>
      <c r="N68" s="230">
        <f t="shared" si="14"/>
        <v>-4.4486664667403612E-3</v>
      </c>
    </row>
    <row r="69" spans="1:14" x14ac:dyDescent="0.3">
      <c r="A69" t="s">
        <v>410</v>
      </c>
      <c r="B69" t="s">
        <v>411</v>
      </c>
      <c r="C69" s="10">
        <v>68.260662999999994</v>
      </c>
      <c r="D69" s="10">
        <v>55.733635999999997</v>
      </c>
      <c r="E69" s="10">
        <v>57.800910999999999</v>
      </c>
      <c r="F69" s="10">
        <v>55.575538999999999</v>
      </c>
      <c r="G69" s="10">
        <v>56.689075000000003</v>
      </c>
      <c r="H69" s="10">
        <v>56.578724000000001</v>
      </c>
      <c r="J69" s="230">
        <f t="shared" si="15"/>
        <v>0.20647229513341434</v>
      </c>
      <c r="K69" s="230">
        <f t="shared" si="11"/>
        <v>-1.4936498037672325E-2</v>
      </c>
      <c r="L69" s="230">
        <f t="shared" si="12"/>
        <v>2.1601529931993484E-2</v>
      </c>
      <c r="M69" s="230">
        <f t="shared" si="13"/>
        <v>-1.77307816273835E-2</v>
      </c>
      <c r="N69" s="230">
        <f t="shared" si="14"/>
        <v>1.9503974674296546E-3</v>
      </c>
    </row>
    <row r="70" spans="1:14" x14ac:dyDescent="0.3">
      <c r="A70" t="s">
        <v>1034</v>
      </c>
      <c r="B70" t="s">
        <v>412</v>
      </c>
      <c r="C70" s="10">
        <v>4.1215672000000003</v>
      </c>
      <c r="D70" s="10">
        <v>4.3505665000000002</v>
      </c>
      <c r="E70" s="10">
        <v>4.8768913999999999</v>
      </c>
      <c r="F70" s="10">
        <v>4.9851837999999997</v>
      </c>
      <c r="G70" s="10">
        <v>4.9963436000000003</v>
      </c>
      <c r="H70" s="10">
        <v>4.7385327000000004</v>
      </c>
      <c r="J70" s="230">
        <f t="shared" si="15"/>
        <v>-0.13020180276480944</v>
      </c>
      <c r="K70" s="230">
        <f t="shared" si="11"/>
        <v>-8.1874754182871864E-2</v>
      </c>
      <c r="L70" s="230">
        <f t="shared" si="12"/>
        <v>2.9198637797729979E-2</v>
      </c>
      <c r="M70" s="230">
        <f t="shared" si="13"/>
        <v>5.2052210170460432E-2</v>
      </c>
      <c r="N70" s="230">
        <f t="shared" si="14"/>
        <v>5.4407327399049063E-2</v>
      </c>
    </row>
    <row r="71" spans="1:14" x14ac:dyDescent="0.3">
      <c r="A71" t="s">
        <v>1035</v>
      </c>
      <c r="B71" t="s">
        <v>21</v>
      </c>
      <c r="C71" s="10">
        <v>156.90043</v>
      </c>
      <c r="D71" s="10">
        <v>157.80153999999999</v>
      </c>
      <c r="E71" s="10">
        <v>168.67150000000001</v>
      </c>
      <c r="F71" s="10">
        <v>157.52455</v>
      </c>
      <c r="G71" s="10">
        <v>163.93210999999999</v>
      </c>
      <c r="H71" s="10">
        <v>161.80246</v>
      </c>
      <c r="J71" s="230">
        <f t="shared" si="15"/>
        <v>-3.0296387335520092E-2</v>
      </c>
      <c r="K71" s="230">
        <f t="shared" si="11"/>
        <v>-2.4727188943851706E-2</v>
      </c>
      <c r="L71" s="230">
        <f t="shared" si="12"/>
        <v>4.245324823862389E-2</v>
      </c>
      <c r="M71" s="230">
        <f t="shared" si="13"/>
        <v>-2.6439091222716832E-2</v>
      </c>
      <c r="N71" s="230">
        <f t="shared" si="14"/>
        <v>1.3162037215008957E-2</v>
      </c>
    </row>
    <row r="72" spans="1:14" x14ac:dyDescent="0.3">
      <c r="A72" t="s">
        <v>1036</v>
      </c>
      <c r="B72" t="s">
        <v>413</v>
      </c>
      <c r="C72" s="10">
        <v>4.7758386999999999E-3</v>
      </c>
      <c r="D72" s="10">
        <v>1.0765467999999999E-3</v>
      </c>
      <c r="E72" s="10">
        <v>1.1157291E-3</v>
      </c>
      <c r="F72" s="10">
        <v>1.0800301000000001E-3</v>
      </c>
      <c r="G72" s="10">
        <v>1.1232289000000001E-3</v>
      </c>
      <c r="H72" s="10">
        <v>1.121401E-3</v>
      </c>
      <c r="J72" s="230">
        <f t="shared" si="15"/>
        <v>3.2588143759458035</v>
      </c>
      <c r="K72" s="230">
        <f t="shared" si="11"/>
        <v>-3.9998359195328036E-2</v>
      </c>
      <c r="L72" s="230">
        <f t="shared" si="12"/>
        <v>-5.0578695756468336E-3</v>
      </c>
      <c r="M72" s="230">
        <f t="shared" si="13"/>
        <v>-3.6892155437706818E-2</v>
      </c>
      <c r="N72" s="230">
        <f t="shared" si="14"/>
        <v>1.6300145978112427E-3</v>
      </c>
    </row>
    <row r="75" spans="1:14" x14ac:dyDescent="0.3">
      <c r="C75"/>
      <c r="D75"/>
      <c r="E75"/>
      <c r="F75"/>
    </row>
    <row r="76" spans="1:14" s="240" customFormat="1" x14ac:dyDescent="0.3">
      <c r="A76" s="241" t="s">
        <v>728</v>
      </c>
      <c r="B76" s="241"/>
      <c r="C76" s="241"/>
      <c r="D76" s="241"/>
      <c r="E76" s="241"/>
      <c r="F76" s="241"/>
      <c r="G76" s="241"/>
      <c r="H76" s="241"/>
      <c r="I76" s="241"/>
      <c r="J76" s="241"/>
      <c r="K76" s="241"/>
    </row>
    <row r="77" spans="1:14" ht="86.4" x14ac:dyDescent="0.3">
      <c r="A77" s="183" t="s">
        <v>395</v>
      </c>
      <c r="B77" s="183" t="s">
        <v>396</v>
      </c>
      <c r="C77" s="246" t="s">
        <v>729</v>
      </c>
      <c r="D77" s="246" t="s">
        <v>812</v>
      </c>
      <c r="E77" s="246" t="s">
        <v>813</v>
      </c>
      <c r="F77" s="367" t="s">
        <v>814</v>
      </c>
      <c r="G77" s="367" t="s">
        <v>815</v>
      </c>
      <c r="H77" s="367" t="s">
        <v>1050</v>
      </c>
      <c r="J77" s="246" t="s">
        <v>729</v>
      </c>
      <c r="K77" s="246" t="s">
        <v>812</v>
      </c>
      <c r="L77" s="246" t="s">
        <v>813</v>
      </c>
      <c r="M77" s="367" t="s">
        <v>814</v>
      </c>
      <c r="N77" s="367" t="s">
        <v>815</v>
      </c>
    </row>
    <row r="78" spans="1:14" x14ac:dyDescent="0.3">
      <c r="A78" t="s">
        <v>397</v>
      </c>
      <c r="B78" t="s">
        <v>398</v>
      </c>
      <c r="C78" s="10">
        <v>15.590583000000001</v>
      </c>
      <c r="D78" s="10">
        <v>15.722237</v>
      </c>
      <c r="E78" s="10">
        <v>16.498581999999999</v>
      </c>
      <c r="F78" s="10">
        <v>15.661111</v>
      </c>
      <c r="G78" s="10">
        <v>16.071950999999999</v>
      </c>
      <c r="H78" s="10">
        <v>16.237819999999999</v>
      </c>
      <c r="J78" s="230">
        <f>(C78-$H78)/$H78</f>
        <v>-3.9859845718205937E-2</v>
      </c>
      <c r="K78" s="230">
        <f t="shared" ref="K78:K93" si="16">(D78-$H78)/$H78</f>
        <v>-3.1751983948584202E-2</v>
      </c>
      <c r="L78" s="230">
        <f t="shared" ref="L78:L93" si="17">(E78-$H78)/$H78</f>
        <v>1.6058929092698387E-2</v>
      </c>
      <c r="M78" s="230">
        <f t="shared" ref="M78:M93" si="18">(F78-$H78)/$H78</f>
        <v>-3.5516405527342913E-2</v>
      </c>
      <c r="N78" s="230">
        <f t="shared" ref="N78:N93" si="19">(G78-$H78)/$H78</f>
        <v>-1.0214979597014914E-2</v>
      </c>
    </row>
    <row r="79" spans="1:14" x14ac:dyDescent="0.3">
      <c r="A79" t="s">
        <v>399</v>
      </c>
      <c r="B79" t="s">
        <v>400</v>
      </c>
      <c r="C79" s="10">
        <v>1.1522009E-6</v>
      </c>
      <c r="D79" s="10">
        <v>1.2662684E-6</v>
      </c>
      <c r="E79" s="10">
        <v>1.3400708000000001E-6</v>
      </c>
      <c r="F79" s="10">
        <v>1.2767856000000001E-6</v>
      </c>
      <c r="G79" s="10">
        <v>1.3533701999999999E-6</v>
      </c>
      <c r="H79" s="10">
        <v>1.2524025E-6</v>
      </c>
      <c r="J79" s="230">
        <f t="shared" ref="J79:J93" si="20">(C79-$H79)/$H79</f>
        <v>-8.0007505574286208E-2</v>
      </c>
      <c r="K79" s="230">
        <f t="shared" si="16"/>
        <v>1.1071440690991877E-2</v>
      </c>
      <c r="L79" s="230">
        <f t="shared" si="17"/>
        <v>7.0000099808168709E-2</v>
      </c>
      <c r="M79" s="230">
        <f t="shared" si="18"/>
        <v>1.9469060465784786E-2</v>
      </c>
      <c r="N79" s="230">
        <f t="shared" si="19"/>
        <v>8.0619209878613221E-2</v>
      </c>
    </row>
    <row r="80" spans="1:14" x14ac:dyDescent="0.3">
      <c r="A80" t="s">
        <v>1024</v>
      </c>
      <c r="B80" t="s">
        <v>401</v>
      </c>
      <c r="C80" s="10">
        <v>0.41655012000000002</v>
      </c>
      <c r="D80" s="10">
        <v>0.40120048000000003</v>
      </c>
      <c r="E80" s="10">
        <v>0.42195967000000001</v>
      </c>
      <c r="F80" s="10">
        <v>0.40101282999999999</v>
      </c>
      <c r="G80" s="10">
        <v>0.42092214999999999</v>
      </c>
      <c r="H80" s="10">
        <v>0.41200434000000002</v>
      </c>
      <c r="J80" s="230">
        <f t="shared" si="20"/>
        <v>1.1033330377053792E-2</v>
      </c>
      <c r="K80" s="230">
        <f t="shared" si="16"/>
        <v>-2.6222684935794605E-2</v>
      </c>
      <c r="L80" s="230">
        <f t="shared" si="17"/>
        <v>2.4163167795756675E-2</v>
      </c>
      <c r="M80" s="230">
        <f t="shared" si="18"/>
        <v>-2.6678141303074714E-2</v>
      </c>
      <c r="N80" s="230">
        <f t="shared" si="19"/>
        <v>2.164494189551491E-2</v>
      </c>
    </row>
    <row r="81" spans="1:14" x14ac:dyDescent="0.3">
      <c r="A81" t="s">
        <v>1025</v>
      </c>
      <c r="B81" t="s">
        <v>402</v>
      </c>
      <c r="C81" s="10">
        <v>8.8595069999999998E-2</v>
      </c>
      <c r="D81" s="10">
        <v>8.5168832E-2</v>
      </c>
      <c r="E81" s="10">
        <v>9.0502691999999996E-2</v>
      </c>
      <c r="F81" s="10">
        <v>8.4852941000000001E-2</v>
      </c>
      <c r="G81" s="10">
        <v>8.9253958999999994E-2</v>
      </c>
      <c r="H81" s="10">
        <v>8.9289588000000003E-2</v>
      </c>
      <c r="J81" s="230">
        <f t="shared" si="20"/>
        <v>-7.7782641353435862E-3</v>
      </c>
      <c r="K81" s="230">
        <f t="shared" si="16"/>
        <v>-4.6150464934388576E-2</v>
      </c>
      <c r="L81" s="230">
        <f t="shared" si="17"/>
        <v>1.3586175355630408E-2</v>
      </c>
      <c r="M81" s="230">
        <f t="shared" si="18"/>
        <v>-4.9688290643697466E-2</v>
      </c>
      <c r="N81" s="230">
        <f t="shared" si="19"/>
        <v>-3.9902748795312212E-4</v>
      </c>
    </row>
    <row r="82" spans="1:14" x14ac:dyDescent="0.3">
      <c r="A82" t="s">
        <v>1026</v>
      </c>
      <c r="B82" t="s">
        <v>403</v>
      </c>
      <c r="C82" s="10">
        <v>1.4869925E-6</v>
      </c>
      <c r="D82" s="10">
        <v>1.5727042999999999E-6</v>
      </c>
      <c r="E82" s="10">
        <v>1.8713244999999999E-6</v>
      </c>
      <c r="F82" s="10">
        <v>1.5647170000000001E-6</v>
      </c>
      <c r="G82" s="10">
        <v>4.2273548999999998E-6</v>
      </c>
      <c r="H82" s="10">
        <v>4.2277412999999997E-6</v>
      </c>
      <c r="J82" s="230">
        <f t="shared" si="20"/>
        <v>-0.64827732009051742</v>
      </c>
      <c r="K82" s="230">
        <f t="shared" si="16"/>
        <v>-0.62800365765048105</v>
      </c>
      <c r="L82" s="230">
        <f t="shared" si="17"/>
        <v>-0.55737014939868723</v>
      </c>
      <c r="M82" s="230">
        <f t="shared" si="18"/>
        <v>-0.62989291705242223</v>
      </c>
      <c r="N82" s="230">
        <f t="shared" si="19"/>
        <v>-9.1396320772944194E-5</v>
      </c>
    </row>
    <row r="83" spans="1:14" x14ac:dyDescent="0.3">
      <c r="A83" t="s">
        <v>1027</v>
      </c>
      <c r="B83" t="s">
        <v>404</v>
      </c>
      <c r="C83" s="10">
        <v>1.3118009999999999E-6</v>
      </c>
      <c r="D83" s="10">
        <v>1.2703515E-6</v>
      </c>
      <c r="E83" s="10">
        <v>1.2771171999999999E-6</v>
      </c>
      <c r="F83" s="10">
        <v>1.2697849E-6</v>
      </c>
      <c r="G83" s="10">
        <v>1.2733605E-6</v>
      </c>
      <c r="H83" s="10">
        <v>1.2807828E-6</v>
      </c>
      <c r="J83" s="230">
        <f t="shared" si="20"/>
        <v>2.421815783285031E-2</v>
      </c>
      <c r="K83" s="230">
        <f t="shared" si="16"/>
        <v>-8.1444722711766365E-3</v>
      </c>
      <c r="L83" s="230">
        <f t="shared" si="17"/>
        <v>-2.8619997083033956E-3</v>
      </c>
      <c r="M83" s="230">
        <f t="shared" si="18"/>
        <v>-8.5868579746698551E-3</v>
      </c>
      <c r="N83" s="230">
        <f t="shared" si="19"/>
        <v>-5.7951277921595469E-3</v>
      </c>
    </row>
    <row r="84" spans="1:14" x14ac:dyDescent="0.3">
      <c r="A84" t="s">
        <v>1028</v>
      </c>
      <c r="B84" t="s">
        <v>404</v>
      </c>
      <c r="C84" s="10">
        <v>2.4210050999999999E-8</v>
      </c>
      <c r="D84" s="10">
        <v>2.3781295000000001E-8</v>
      </c>
      <c r="E84" s="10">
        <v>2.3957324999999998E-8</v>
      </c>
      <c r="F84" s="10">
        <v>2.3783872999999999E-8</v>
      </c>
      <c r="G84" s="10">
        <v>2.3918958E-8</v>
      </c>
      <c r="H84" s="10">
        <v>2.4098294E-8</v>
      </c>
      <c r="J84" s="230">
        <f t="shared" si="20"/>
        <v>4.6375482015448858E-3</v>
      </c>
      <c r="K84" s="230">
        <f t="shared" si="16"/>
        <v>-1.3154416657046282E-2</v>
      </c>
      <c r="L84" s="230">
        <f t="shared" si="17"/>
        <v>-5.8497501939349366E-3</v>
      </c>
      <c r="M84" s="230">
        <f t="shared" si="18"/>
        <v>-1.3047438129852701E-2</v>
      </c>
      <c r="N84" s="230">
        <f t="shared" si="19"/>
        <v>-7.4418545976739706E-3</v>
      </c>
    </row>
    <row r="85" spans="1:14" x14ac:dyDescent="0.3">
      <c r="A85" t="s">
        <v>1029</v>
      </c>
      <c r="B85" t="s">
        <v>405</v>
      </c>
      <c r="C85" s="10">
        <v>0.40083496000000002</v>
      </c>
      <c r="D85" s="10">
        <v>0.39789342999999999</v>
      </c>
      <c r="E85" s="10">
        <v>0.40477583</v>
      </c>
      <c r="F85" s="10">
        <v>0.39736575000000002</v>
      </c>
      <c r="G85" s="10">
        <v>0.40279549999999997</v>
      </c>
      <c r="H85" s="10">
        <v>0.40241209</v>
      </c>
      <c r="J85" s="230">
        <f t="shared" si="20"/>
        <v>-3.9191913940756157E-3</v>
      </c>
      <c r="K85" s="230">
        <f t="shared" si="16"/>
        <v>-1.1228936983478821E-2</v>
      </c>
      <c r="L85" s="230">
        <f t="shared" si="17"/>
        <v>5.8739288871763346E-3</v>
      </c>
      <c r="M85" s="230">
        <f t="shared" si="18"/>
        <v>-1.25402295939965E-2</v>
      </c>
      <c r="N85" s="230">
        <f t="shared" si="19"/>
        <v>9.5277952508825701E-4</v>
      </c>
    </row>
    <row r="86" spans="1:14" x14ac:dyDescent="0.3">
      <c r="A86" t="s">
        <v>1030</v>
      </c>
      <c r="B86" t="s">
        <v>406</v>
      </c>
      <c r="C86" s="10">
        <v>1.5136450000000001E-3</v>
      </c>
      <c r="D86" s="10">
        <v>1.4995900000000001E-3</v>
      </c>
      <c r="E86" s="10">
        <v>1.5100466999999999E-3</v>
      </c>
      <c r="F86" s="10">
        <v>1.4978851E-3</v>
      </c>
      <c r="G86" s="10">
        <v>1.5001488E-3</v>
      </c>
      <c r="H86" s="10">
        <v>1.500407E-3</v>
      </c>
      <c r="J86" s="230">
        <f t="shared" si="20"/>
        <v>8.8229393757827384E-3</v>
      </c>
      <c r="K86" s="230">
        <f t="shared" si="16"/>
        <v>-5.4451892053287E-4</v>
      </c>
      <c r="L86" s="230">
        <f t="shared" si="17"/>
        <v>6.4247234250439334E-3</v>
      </c>
      <c r="M86" s="230">
        <f t="shared" si="18"/>
        <v>-1.6808106067220385E-3</v>
      </c>
      <c r="N86" s="230">
        <f t="shared" si="19"/>
        <v>-1.7208664049155363E-4</v>
      </c>
    </row>
    <row r="87" spans="1:14" x14ac:dyDescent="0.3">
      <c r="A87" t="s">
        <v>1031</v>
      </c>
      <c r="B87" t="s">
        <v>407</v>
      </c>
      <c r="C87" s="10">
        <v>2.2920322E-2</v>
      </c>
      <c r="D87" s="10">
        <v>2.1735193E-2</v>
      </c>
      <c r="E87" s="10">
        <v>2.3485613999999998E-2</v>
      </c>
      <c r="F87" s="10">
        <v>2.1619637000000001E-2</v>
      </c>
      <c r="G87" s="10">
        <v>2.3026316000000002E-2</v>
      </c>
      <c r="H87" s="10">
        <v>2.2903634999999999E-2</v>
      </c>
      <c r="J87" s="230">
        <f t="shared" si="20"/>
        <v>7.285743070914875E-4</v>
      </c>
      <c r="K87" s="230">
        <f t="shared" si="16"/>
        <v>-5.101557023590355E-2</v>
      </c>
      <c r="L87" s="230">
        <f t="shared" si="17"/>
        <v>2.5409896726000036E-2</v>
      </c>
      <c r="M87" s="230">
        <f t="shared" si="18"/>
        <v>-5.60608829122538E-2</v>
      </c>
      <c r="N87" s="230">
        <f t="shared" si="19"/>
        <v>5.356398667722524E-3</v>
      </c>
    </row>
    <row r="88" spans="1:14" x14ac:dyDescent="0.3">
      <c r="A88" t="s">
        <v>1032</v>
      </c>
      <c r="B88" t="s">
        <v>408</v>
      </c>
      <c r="C88" s="10">
        <v>0.30956147000000001</v>
      </c>
      <c r="D88" s="10">
        <v>0.28874182999999998</v>
      </c>
      <c r="E88" s="10">
        <v>0.30797881999999999</v>
      </c>
      <c r="F88" s="10">
        <v>0.28748251000000002</v>
      </c>
      <c r="G88" s="10">
        <v>0.30294256000000003</v>
      </c>
      <c r="H88" s="10">
        <v>0.30151023999999998</v>
      </c>
      <c r="J88" s="230">
        <f t="shared" si="20"/>
        <v>2.6703006836517461E-2</v>
      </c>
      <c r="K88" s="230">
        <f t="shared" si="16"/>
        <v>-4.2348180280709566E-2</v>
      </c>
      <c r="L88" s="230">
        <f t="shared" si="17"/>
        <v>2.1453931382231003E-2</v>
      </c>
      <c r="M88" s="230">
        <f t="shared" si="18"/>
        <v>-4.6524887512941392E-2</v>
      </c>
      <c r="N88" s="230">
        <f t="shared" si="19"/>
        <v>4.7504854229827899E-3</v>
      </c>
    </row>
    <row r="89" spans="1:14" x14ac:dyDescent="0.3">
      <c r="A89" t="s">
        <v>1033</v>
      </c>
      <c r="B89" t="s">
        <v>409</v>
      </c>
      <c r="C89" s="10">
        <v>1929.9439</v>
      </c>
      <c r="D89" s="10">
        <v>1623.2927</v>
      </c>
      <c r="E89" s="10">
        <v>1637.3398999999999</v>
      </c>
      <c r="F89" s="10">
        <v>1620.749</v>
      </c>
      <c r="G89" s="10">
        <v>1625.2581</v>
      </c>
      <c r="H89" s="10">
        <v>1630.5561</v>
      </c>
      <c r="J89" s="230">
        <f t="shared" si="20"/>
        <v>0.18361085521681833</v>
      </c>
      <c r="K89" s="230">
        <f t="shared" si="16"/>
        <v>-4.4545538788883414E-3</v>
      </c>
      <c r="L89" s="230">
        <f t="shared" si="17"/>
        <v>4.1604210980535584E-3</v>
      </c>
      <c r="M89" s="230">
        <f t="shared" si="18"/>
        <v>-6.0145738009259484E-3</v>
      </c>
      <c r="N89" s="230">
        <f t="shared" si="19"/>
        <v>-3.2491982336578309E-3</v>
      </c>
    </row>
    <row r="90" spans="1:14" x14ac:dyDescent="0.3">
      <c r="A90" t="s">
        <v>410</v>
      </c>
      <c r="B90" t="s">
        <v>411</v>
      </c>
      <c r="C90" s="10">
        <v>97.273555999999999</v>
      </c>
      <c r="D90" s="10">
        <v>88.180070999999998</v>
      </c>
      <c r="E90" s="10">
        <v>89.680724999999995</v>
      </c>
      <c r="F90" s="10">
        <v>88.065306000000007</v>
      </c>
      <c r="G90" s="10">
        <v>88.873632000000001</v>
      </c>
      <c r="H90" s="10">
        <v>88.793527999999995</v>
      </c>
      <c r="J90" s="230">
        <f t="shared" si="20"/>
        <v>9.5502771328108568E-2</v>
      </c>
      <c r="K90" s="230">
        <f t="shared" si="16"/>
        <v>-6.9088030830354759E-3</v>
      </c>
      <c r="L90" s="230">
        <f t="shared" si="17"/>
        <v>9.9916854300462141E-3</v>
      </c>
      <c r="M90" s="230">
        <f t="shared" si="18"/>
        <v>-8.2012959322889864E-3</v>
      </c>
      <c r="N90" s="230">
        <f t="shared" si="19"/>
        <v>9.0213782247739642E-4</v>
      </c>
    </row>
    <row r="91" spans="1:14" x14ac:dyDescent="0.3">
      <c r="A91" t="s">
        <v>1034</v>
      </c>
      <c r="B91" t="s">
        <v>412</v>
      </c>
      <c r="C91" s="10">
        <v>4.2153394999999998</v>
      </c>
      <c r="D91" s="10">
        <v>4.3815723000000002</v>
      </c>
      <c r="E91" s="10">
        <v>4.7636364000000002</v>
      </c>
      <c r="F91" s="10">
        <v>4.8422467999999999</v>
      </c>
      <c r="G91" s="10">
        <v>4.8503477999999998</v>
      </c>
      <c r="H91" s="10">
        <v>4.6632005000000003</v>
      </c>
      <c r="J91" s="230">
        <f t="shared" si="20"/>
        <v>-9.6041549146342831E-2</v>
      </c>
      <c r="K91" s="230">
        <f t="shared" si="16"/>
        <v>-6.0393757463355929E-2</v>
      </c>
      <c r="L91" s="230">
        <f t="shared" si="17"/>
        <v>2.1537975903030526E-2</v>
      </c>
      <c r="M91" s="230">
        <f t="shared" si="18"/>
        <v>3.839558260469382E-2</v>
      </c>
      <c r="N91" s="230">
        <f t="shared" si="19"/>
        <v>4.0132801495453486E-2</v>
      </c>
    </row>
    <row r="92" spans="1:14" x14ac:dyDescent="0.3">
      <c r="A92" t="s">
        <v>1035</v>
      </c>
      <c r="B92" t="s">
        <v>21</v>
      </c>
      <c r="C92" s="10">
        <v>178.09783999999999</v>
      </c>
      <c r="D92" s="10">
        <v>178.75196</v>
      </c>
      <c r="E92" s="10">
        <v>186.64256</v>
      </c>
      <c r="F92" s="10">
        <v>178.55088000000001</v>
      </c>
      <c r="G92" s="10">
        <v>183.2022</v>
      </c>
      <c r="H92" s="10">
        <v>181.65626</v>
      </c>
      <c r="J92" s="230">
        <f t="shared" si="20"/>
        <v>-1.9588755157680843E-2</v>
      </c>
      <c r="K92" s="230">
        <f t="shared" si="16"/>
        <v>-1.5987888333713389E-2</v>
      </c>
      <c r="L92" s="230">
        <f t="shared" si="17"/>
        <v>2.7449095340837688E-2</v>
      </c>
      <c r="M92" s="230">
        <f t="shared" si="18"/>
        <v>-1.7094814128618505E-2</v>
      </c>
      <c r="N92" s="230">
        <f t="shared" si="19"/>
        <v>8.5102489724273832E-3</v>
      </c>
    </row>
    <row r="93" spans="1:14" x14ac:dyDescent="0.3">
      <c r="A93" t="s">
        <v>1036</v>
      </c>
      <c r="B93" t="s">
        <v>413</v>
      </c>
      <c r="C93" s="10">
        <v>5.3424887000000001E-3</v>
      </c>
      <c r="D93" s="10">
        <v>2.6571384E-3</v>
      </c>
      <c r="E93" s="10">
        <v>2.6855810999999999E-3</v>
      </c>
      <c r="F93" s="10">
        <v>2.6596669000000001E-3</v>
      </c>
      <c r="G93" s="10">
        <v>2.6910253000000002E-3</v>
      </c>
      <c r="H93" s="10">
        <v>2.6896984000000001E-3</v>
      </c>
      <c r="J93" s="230">
        <f t="shared" si="20"/>
        <v>0.98627797822982677</v>
      </c>
      <c r="K93" s="230">
        <f t="shared" si="16"/>
        <v>-1.2105446469388558E-2</v>
      </c>
      <c r="L93" s="230">
        <f t="shared" si="17"/>
        <v>-1.5307664234771447E-3</v>
      </c>
      <c r="M93" s="230">
        <f t="shared" si="18"/>
        <v>-1.116537824463887E-2</v>
      </c>
      <c r="N93" s="230">
        <f t="shared" si="19"/>
        <v>4.9332668673935764E-4</v>
      </c>
    </row>
    <row r="117" spans="3:8" x14ac:dyDescent="0.3">
      <c r="C117" s="547"/>
      <c r="D117" s="547"/>
      <c r="E117" s="547"/>
      <c r="F117" s="547"/>
      <c r="G117" s="13"/>
      <c r="H117" s="13"/>
    </row>
    <row r="118" spans="3:8" x14ac:dyDescent="0.3">
      <c r="C118" s="547"/>
      <c r="D118" s="547"/>
      <c r="E118" s="547"/>
      <c r="F118" s="547"/>
      <c r="G118" s="548"/>
      <c r="H118" s="548"/>
    </row>
    <row r="120" spans="3:8" x14ac:dyDescent="0.3">
      <c r="G120" s="9"/>
      <c r="H120" s="9"/>
    </row>
    <row r="121" spans="3:8" x14ac:dyDescent="0.3">
      <c r="G121" s="9"/>
      <c r="H121" s="9"/>
    </row>
    <row r="122" spans="3:8" x14ac:dyDescent="0.3">
      <c r="G122" s="9"/>
      <c r="H122" s="9"/>
    </row>
    <row r="123" spans="3:8" x14ac:dyDescent="0.3">
      <c r="G123" s="9"/>
      <c r="H123" s="9"/>
    </row>
    <row r="124" spans="3:8" x14ac:dyDescent="0.3">
      <c r="G124" s="9"/>
      <c r="H124" s="9"/>
    </row>
    <row r="125" spans="3:8" x14ac:dyDescent="0.3">
      <c r="G125" s="9"/>
      <c r="H125" s="9"/>
    </row>
    <row r="136" spans="7:8" x14ac:dyDescent="0.3">
      <c r="G136" s="9"/>
      <c r="H136" s="9"/>
    </row>
    <row r="137" spans="7:8" x14ac:dyDescent="0.3">
      <c r="G137" s="9"/>
      <c r="H137" s="9"/>
    </row>
    <row r="138" spans="7:8" x14ac:dyDescent="0.3">
      <c r="G138" s="9"/>
      <c r="H138" s="9"/>
    </row>
    <row r="139" spans="7:8" x14ac:dyDescent="0.3">
      <c r="G139" s="9"/>
      <c r="H139" s="9"/>
    </row>
    <row r="140" spans="7:8" x14ac:dyDescent="0.3">
      <c r="G140" s="9"/>
      <c r="H140" s="9"/>
    </row>
    <row r="141" spans="7:8" x14ac:dyDescent="0.3">
      <c r="G141" s="9"/>
      <c r="H141" s="9"/>
    </row>
    <row r="143" spans="7:8" x14ac:dyDescent="0.3">
      <c r="G143" s="9"/>
      <c r="H143" s="9"/>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CC"/>
  </sheetPr>
  <dimension ref="B2:AP69"/>
  <sheetViews>
    <sheetView workbookViewId="0">
      <selection activeCell="O10" sqref="O10"/>
    </sheetView>
  </sheetViews>
  <sheetFormatPr defaultColWidth="8.77734375" defaultRowHeight="15" x14ac:dyDescent="0.35"/>
  <cols>
    <col min="1" max="1" width="8.77734375" style="496"/>
    <col min="2" max="2" width="14.6640625" style="496" customWidth="1"/>
    <col min="3" max="3" width="14.21875" style="496" customWidth="1"/>
    <col min="4" max="4" width="11.5546875" style="496" customWidth="1"/>
    <col min="5" max="5" width="22.6640625" style="496" customWidth="1"/>
    <col min="6" max="6" width="8.21875" style="496" customWidth="1"/>
    <col min="7" max="7" width="14.33203125" style="496" customWidth="1"/>
    <col min="8" max="8" width="10.21875" style="496" customWidth="1"/>
    <col min="9" max="9" width="8.77734375" style="496"/>
    <col min="10" max="10" width="24.109375" style="496" customWidth="1"/>
    <col min="11" max="12" width="8.77734375" style="496"/>
    <col min="13" max="13" width="14.5546875" style="496" customWidth="1"/>
    <col min="14" max="14" width="10.21875" style="496" customWidth="1"/>
    <col min="15" max="15" width="8.77734375" style="496"/>
    <col min="16" max="16" width="22.5546875" style="496" customWidth="1"/>
    <col min="17" max="17" width="8.77734375" style="496"/>
    <col min="18" max="18" width="5.5546875" style="496" customWidth="1"/>
    <col min="19" max="22" width="8.77734375" style="496"/>
    <col min="23" max="23" width="9.21875" style="496" customWidth="1"/>
    <col min="24" max="16384" width="8.77734375" style="496"/>
  </cols>
  <sheetData>
    <row r="2" spans="2:18" x14ac:dyDescent="0.35">
      <c r="B2" s="497" t="s">
        <v>1060</v>
      </c>
    </row>
    <row r="3" spans="2:18" ht="16.05" customHeight="1" x14ac:dyDescent="0.35">
      <c r="B3" s="498" t="s">
        <v>1079</v>
      </c>
      <c r="C3" s="498">
        <v>29.692</v>
      </c>
      <c r="D3" s="498" t="s">
        <v>1062</v>
      </c>
      <c r="E3" s="496" t="s">
        <v>1061</v>
      </c>
    </row>
    <row r="5" spans="2:18" x14ac:dyDescent="0.35">
      <c r="B5" s="497" t="s">
        <v>1080</v>
      </c>
      <c r="G5" s="497" t="s">
        <v>1082</v>
      </c>
      <c r="M5" s="497" t="s">
        <v>1083</v>
      </c>
    </row>
    <row r="6" spans="2:18" x14ac:dyDescent="0.35">
      <c r="B6" s="496" t="s">
        <v>1063</v>
      </c>
      <c r="C6" s="496" t="s">
        <v>1081</v>
      </c>
      <c r="G6" s="496" t="s">
        <v>1063</v>
      </c>
      <c r="H6" s="496" t="s">
        <v>1084</v>
      </c>
      <c r="M6" s="496" t="s">
        <v>1063</v>
      </c>
      <c r="N6" s="496" t="s">
        <v>1064</v>
      </c>
    </row>
    <row r="7" spans="2:18" x14ac:dyDescent="0.35">
      <c r="B7" s="496" t="s">
        <v>393</v>
      </c>
      <c r="C7" s="496" t="s">
        <v>394</v>
      </c>
      <c r="G7" s="496" t="s">
        <v>393</v>
      </c>
      <c r="H7" s="496" t="s">
        <v>394</v>
      </c>
      <c r="M7" s="496" t="s">
        <v>393</v>
      </c>
      <c r="N7" s="496" t="s">
        <v>394</v>
      </c>
    </row>
    <row r="8" spans="2:18" x14ac:dyDescent="0.35">
      <c r="B8" s="506" t="s">
        <v>395</v>
      </c>
      <c r="C8" s="506" t="s">
        <v>396</v>
      </c>
      <c r="D8" s="506" t="s">
        <v>684</v>
      </c>
      <c r="E8" s="506" t="s">
        <v>1086</v>
      </c>
      <c r="G8" s="506" t="s">
        <v>395</v>
      </c>
      <c r="H8" s="506" t="s">
        <v>396</v>
      </c>
      <c r="I8" s="506" t="s">
        <v>684</v>
      </c>
      <c r="J8" s="506" t="s">
        <v>1086</v>
      </c>
      <c r="M8" s="506" t="s">
        <v>395</v>
      </c>
      <c r="N8" s="506" t="s">
        <v>396</v>
      </c>
      <c r="O8" s="506" t="s">
        <v>684</v>
      </c>
      <c r="P8" s="506" t="s">
        <v>1086</v>
      </c>
    </row>
    <row r="9" spans="2:18" x14ac:dyDescent="0.35">
      <c r="B9" s="506" t="s">
        <v>1066</v>
      </c>
      <c r="C9" s="506" t="s">
        <v>398</v>
      </c>
      <c r="D9" s="506">
        <v>6.4415750999999997</v>
      </c>
      <c r="E9" s="506" t="s">
        <v>1065</v>
      </c>
      <c r="G9" s="506" t="s">
        <v>1066</v>
      </c>
      <c r="H9" s="506" t="s">
        <v>398</v>
      </c>
      <c r="I9" s="506">
        <v>9.2398056000000004</v>
      </c>
      <c r="J9" s="506" t="s">
        <v>1065</v>
      </c>
      <c r="M9" s="506" t="s">
        <v>1066</v>
      </c>
      <c r="N9" s="506" t="s">
        <v>398</v>
      </c>
      <c r="O9" s="506">
        <v>14.169584</v>
      </c>
      <c r="P9" s="506" t="s">
        <v>1065</v>
      </c>
    </row>
    <row r="10" spans="2:18" x14ac:dyDescent="0.35">
      <c r="B10" s="506"/>
      <c r="C10" s="506" t="s">
        <v>398</v>
      </c>
      <c r="D10" s="506">
        <v>6.514443</v>
      </c>
      <c r="E10" s="506" t="s">
        <v>1085</v>
      </c>
      <c r="G10" s="506"/>
      <c r="H10" s="506" t="s">
        <v>398</v>
      </c>
      <c r="I10" s="506">
        <v>9.4556144</v>
      </c>
      <c r="J10" s="506" t="s">
        <v>1085</v>
      </c>
      <c r="M10" s="506"/>
      <c r="N10" s="506" t="s">
        <v>398</v>
      </c>
      <c r="O10" s="506">
        <v>14.524419999999999</v>
      </c>
      <c r="P10" s="506" t="s">
        <v>1085</v>
      </c>
    </row>
    <row r="11" spans="2:18" x14ac:dyDescent="0.35">
      <c r="D11" s="497"/>
      <c r="E11" s="497"/>
      <c r="I11" s="497"/>
      <c r="J11" s="497"/>
      <c r="Q11" s="497"/>
      <c r="R11" s="497"/>
    </row>
    <row r="13" spans="2:18" x14ac:dyDescent="0.35">
      <c r="B13" s="496" t="s">
        <v>1067</v>
      </c>
      <c r="G13" s="496" t="s">
        <v>1068</v>
      </c>
    </row>
    <row r="14" spans="2:18" x14ac:dyDescent="0.35">
      <c r="B14" s="539" t="s">
        <v>34</v>
      </c>
      <c r="C14" s="499">
        <f>0.652</f>
        <v>0.65200000000000002</v>
      </c>
    </row>
    <row r="15" spans="2:18" x14ac:dyDescent="0.35">
      <c r="B15" s="496" t="s">
        <v>1069</v>
      </c>
      <c r="C15" s="499">
        <f>0.652*0.56*0.949*0.95*0.41</f>
        <v>0.13496131375999998</v>
      </c>
      <c r="G15" s="496" t="s">
        <v>1069</v>
      </c>
      <c r="H15" s="499">
        <f>0.56*0.949*0.95*0.41</f>
        <v>0.20699587999999999</v>
      </c>
    </row>
    <row r="16" spans="2:18" x14ac:dyDescent="0.35">
      <c r="B16" s="496" t="s">
        <v>1070</v>
      </c>
      <c r="C16" s="499">
        <f>C15*0.72591</f>
        <v>9.7969767271521596E-2</v>
      </c>
      <c r="G16" s="496" t="s">
        <v>1070</v>
      </c>
      <c r="H16" s="499">
        <f>H15*0.72591</f>
        <v>0.15026037925080002</v>
      </c>
    </row>
    <row r="17" spans="2:18" x14ac:dyDescent="0.35">
      <c r="C17" s="499"/>
    </row>
    <row r="18" spans="2:18" x14ac:dyDescent="0.35">
      <c r="C18" s="499"/>
    </row>
    <row r="19" spans="2:18" x14ac:dyDescent="0.35">
      <c r="B19" s="497" t="s">
        <v>1087</v>
      </c>
      <c r="K19" s="497" t="s">
        <v>1088</v>
      </c>
    </row>
    <row r="20" spans="2:18" x14ac:dyDescent="0.35">
      <c r="B20" s="501">
        <f>D9*C14</f>
        <v>4.1999069652000003</v>
      </c>
      <c r="C20" s="496" t="s">
        <v>398</v>
      </c>
      <c r="D20" s="496" t="s">
        <v>1071</v>
      </c>
      <c r="K20" s="501">
        <f>D10*C14</f>
        <v>4.2474168360000002</v>
      </c>
      <c r="L20" s="496" t="s">
        <v>398</v>
      </c>
      <c r="M20" s="496" t="s">
        <v>1071</v>
      </c>
    </row>
    <row r="21" spans="2:18" x14ac:dyDescent="0.35">
      <c r="B21" s="501">
        <f>I9*H15</f>
        <v>1.912601691200928</v>
      </c>
      <c r="C21" s="496" t="s">
        <v>398</v>
      </c>
      <c r="D21" s="496" t="s">
        <v>1072</v>
      </c>
      <c r="K21" s="501">
        <f>I10*H15</f>
        <v>1.9572732236686718</v>
      </c>
      <c r="L21" s="496" t="s">
        <v>398</v>
      </c>
      <c r="M21" s="496" t="s">
        <v>1072</v>
      </c>
    </row>
    <row r="22" spans="2:18" x14ac:dyDescent="0.35">
      <c r="B22" s="499">
        <f>B21/O9</f>
        <v>0.13497938197768741</v>
      </c>
      <c r="C22" s="496" t="s">
        <v>1073</v>
      </c>
      <c r="K22" s="499">
        <f>K21/O10</f>
        <v>0.13475741018702792</v>
      </c>
      <c r="L22" s="496" t="s">
        <v>1073</v>
      </c>
    </row>
    <row r="24" spans="2:18" x14ac:dyDescent="0.35">
      <c r="B24" s="501">
        <f>C3*C14</f>
        <v>19.359183999999999</v>
      </c>
      <c r="C24" s="496" t="s">
        <v>398</v>
      </c>
      <c r="D24" s="496" t="s">
        <v>1074</v>
      </c>
      <c r="K24" s="501">
        <f>C3*C14</f>
        <v>19.359183999999999</v>
      </c>
      <c r="L24" s="496" t="s">
        <v>398</v>
      </c>
      <c r="M24" s="496" t="s">
        <v>1074</v>
      </c>
      <c r="Q24" s="502" t="s">
        <v>1094</v>
      </c>
    </row>
    <row r="25" spans="2:18" x14ac:dyDescent="0.35">
      <c r="B25" s="501">
        <f>C3*C15</f>
        <v>4.0072713281619192</v>
      </c>
      <c r="C25" s="496" t="s">
        <v>398</v>
      </c>
      <c r="D25" s="496" t="s">
        <v>1075</v>
      </c>
      <c r="K25" s="501">
        <f>C3*C15</f>
        <v>4.0072713281619192</v>
      </c>
      <c r="L25" s="496" t="s">
        <v>398</v>
      </c>
      <c r="M25" s="496" t="s">
        <v>1075</v>
      </c>
      <c r="Q25" s="502" t="s">
        <v>1094</v>
      </c>
    </row>
    <row r="27" spans="2:18" x14ac:dyDescent="0.35">
      <c r="B27" s="501">
        <f>B25/B21</f>
        <v>2.0951938642518622</v>
      </c>
      <c r="C27" s="496" t="s">
        <v>1076</v>
      </c>
      <c r="K27" s="501">
        <f>B25/K21</f>
        <v>2.0473745206868839</v>
      </c>
      <c r="L27" s="496" t="s">
        <v>1076</v>
      </c>
    </row>
    <row r="28" spans="2:18" x14ac:dyDescent="0.35">
      <c r="B28" s="507">
        <f>B25/B22</f>
        <v>29.688025455801359</v>
      </c>
      <c r="C28" s="500" t="s">
        <v>398</v>
      </c>
      <c r="D28" s="500" t="s">
        <v>1077</v>
      </c>
      <c r="E28" s="500"/>
      <c r="F28" s="500"/>
      <c r="G28" s="500"/>
      <c r="H28" s="500"/>
      <c r="I28" s="500"/>
      <c r="J28" s="500"/>
      <c r="K28" s="507">
        <f>K25/K22</f>
        <v>29.736927435754989</v>
      </c>
      <c r="L28" s="500" t="s">
        <v>398</v>
      </c>
      <c r="M28" s="500" t="s">
        <v>1077</v>
      </c>
      <c r="N28" s="500"/>
      <c r="O28" s="500"/>
      <c r="P28" s="500"/>
      <c r="Q28" s="500"/>
      <c r="R28" s="500"/>
    </row>
    <row r="29" spans="2:18" x14ac:dyDescent="0.35">
      <c r="B29" s="501"/>
    </row>
    <row r="31" spans="2:18" x14ac:dyDescent="0.35">
      <c r="B31" s="503">
        <f>1/parameters!$E$3</f>
        <v>6.9930069930069934</v>
      </c>
      <c r="C31" s="504" t="s">
        <v>1089</v>
      </c>
    </row>
    <row r="32" spans="2:18" x14ac:dyDescent="0.35">
      <c r="B32" s="508">
        <f>B28*B31</f>
        <v>207.60856962098853</v>
      </c>
      <c r="C32" s="509" t="s">
        <v>1078</v>
      </c>
      <c r="D32" s="510" t="s">
        <v>1077</v>
      </c>
    </row>
    <row r="38" spans="21:42" x14ac:dyDescent="0.35">
      <c r="U38" s="505"/>
      <c r="W38" s="505"/>
      <c r="X38" s="505"/>
      <c r="Y38" s="505"/>
      <c r="Z38" s="505"/>
      <c r="AA38" s="505"/>
      <c r="AB38" s="505"/>
      <c r="AC38" s="505"/>
      <c r="AD38" s="505"/>
      <c r="AE38" s="505"/>
      <c r="AF38" s="505"/>
      <c r="AG38" s="505"/>
      <c r="AH38" s="505"/>
      <c r="AI38" s="505"/>
      <c r="AJ38" s="505"/>
      <c r="AK38" s="505"/>
      <c r="AL38" s="505"/>
      <c r="AM38" s="505"/>
      <c r="AN38" s="505"/>
      <c r="AO38" s="505"/>
      <c r="AP38" s="505"/>
    </row>
    <row r="39" spans="21:42" x14ac:dyDescent="0.35">
      <c r="AA39" s="505"/>
      <c r="AD39" s="505"/>
      <c r="AE39" s="505"/>
      <c r="AF39" s="505"/>
      <c r="AI39" s="505"/>
    </row>
    <row r="40" spans="21:42" x14ac:dyDescent="0.35">
      <c r="AA40" s="505"/>
      <c r="AC40" s="505"/>
      <c r="AD40" s="505"/>
      <c r="AE40" s="505"/>
      <c r="AF40" s="505"/>
      <c r="AH40" s="505"/>
      <c r="AI40" s="505"/>
      <c r="AJ40" s="505"/>
    </row>
    <row r="41" spans="21:42" x14ac:dyDescent="0.35">
      <c r="U41" s="505"/>
      <c r="W41" s="505"/>
      <c r="X41" s="505"/>
      <c r="Y41" s="505"/>
      <c r="Z41" s="505"/>
      <c r="AA41" s="505"/>
      <c r="AB41" s="505"/>
      <c r="AC41" s="505"/>
      <c r="AD41" s="505"/>
      <c r="AE41" s="505"/>
      <c r="AF41" s="505"/>
      <c r="AG41" s="505"/>
      <c r="AH41" s="505"/>
      <c r="AI41" s="505"/>
      <c r="AJ41" s="505"/>
      <c r="AK41" s="505"/>
      <c r="AL41" s="505"/>
      <c r="AM41" s="505"/>
      <c r="AN41" s="505"/>
      <c r="AO41" s="505"/>
      <c r="AP41" s="505"/>
    </row>
    <row r="42" spans="21:42" x14ac:dyDescent="0.35">
      <c r="U42" s="505"/>
      <c r="W42" s="505"/>
      <c r="X42" s="505"/>
      <c r="Y42" s="505"/>
      <c r="Z42" s="505"/>
      <c r="AA42" s="505"/>
      <c r="AB42" s="505"/>
      <c r="AC42" s="505"/>
      <c r="AD42" s="505"/>
      <c r="AE42" s="505"/>
      <c r="AF42" s="505"/>
      <c r="AG42" s="505"/>
      <c r="AH42" s="505"/>
      <c r="AI42" s="505"/>
      <c r="AJ42" s="505"/>
      <c r="AK42" s="505"/>
      <c r="AL42" s="505"/>
      <c r="AM42" s="505"/>
      <c r="AN42" s="505"/>
      <c r="AO42" s="505"/>
      <c r="AP42" s="505"/>
    </row>
    <row r="43" spans="21:42" x14ac:dyDescent="0.35">
      <c r="U43" s="505"/>
      <c r="W43" s="505"/>
      <c r="X43" s="505"/>
      <c r="Y43" s="505"/>
      <c r="Z43" s="505"/>
      <c r="AA43" s="505"/>
      <c r="AB43" s="505"/>
      <c r="AC43" s="505"/>
      <c r="AD43" s="505"/>
      <c r="AE43" s="505"/>
      <c r="AF43" s="505"/>
      <c r="AG43" s="505"/>
      <c r="AH43" s="505"/>
      <c r="AI43" s="505"/>
      <c r="AJ43" s="505"/>
      <c r="AK43" s="505"/>
      <c r="AL43" s="505"/>
      <c r="AM43" s="505"/>
      <c r="AN43" s="505"/>
      <c r="AO43" s="505"/>
      <c r="AP43" s="505"/>
    </row>
    <row r="44" spans="21:42" x14ac:dyDescent="0.35">
      <c r="AA44" s="505"/>
      <c r="AC44" s="505"/>
      <c r="AD44" s="505"/>
      <c r="AE44" s="505"/>
      <c r="AF44" s="505"/>
      <c r="AH44" s="505"/>
      <c r="AI44" s="505"/>
      <c r="AJ44" s="505"/>
    </row>
    <row r="45" spans="21:42" x14ac:dyDescent="0.35">
      <c r="U45" s="505"/>
      <c r="W45" s="505"/>
      <c r="X45" s="505"/>
      <c r="Y45" s="505"/>
      <c r="Z45" s="505"/>
      <c r="AA45" s="505"/>
      <c r="AB45" s="505"/>
      <c r="AC45" s="505"/>
      <c r="AD45" s="505"/>
      <c r="AE45" s="505"/>
      <c r="AF45" s="505"/>
      <c r="AG45" s="505"/>
      <c r="AH45" s="505"/>
      <c r="AI45" s="505"/>
      <c r="AJ45" s="505"/>
      <c r="AL45" s="505"/>
      <c r="AM45" s="505"/>
      <c r="AN45" s="505"/>
      <c r="AO45" s="505"/>
      <c r="AP45" s="505"/>
    </row>
    <row r="46" spans="21:42" x14ac:dyDescent="0.35">
      <c r="X46" s="505"/>
      <c r="AA46" s="505"/>
      <c r="AB46" s="505"/>
      <c r="AC46" s="505"/>
      <c r="AD46" s="505"/>
      <c r="AE46" s="505"/>
      <c r="AF46" s="505"/>
      <c r="AG46" s="505"/>
      <c r="AH46" s="505"/>
      <c r="AI46" s="505"/>
      <c r="AJ46" s="505"/>
      <c r="AL46" s="505"/>
      <c r="AM46" s="505"/>
    </row>
    <row r="47" spans="21:42" x14ac:dyDescent="0.35">
      <c r="X47" s="505"/>
      <c r="AA47" s="505"/>
      <c r="AB47" s="505"/>
      <c r="AC47" s="505"/>
      <c r="AD47" s="505"/>
      <c r="AE47" s="505"/>
      <c r="AF47" s="505"/>
      <c r="AG47" s="505"/>
      <c r="AI47" s="505"/>
      <c r="AJ47" s="505"/>
    </row>
    <row r="48" spans="21:42" x14ac:dyDescent="0.35">
      <c r="U48" s="505"/>
      <c r="W48" s="505"/>
      <c r="X48" s="505"/>
      <c r="Y48" s="505"/>
      <c r="Z48" s="505"/>
      <c r="AA48" s="505"/>
      <c r="AB48" s="505"/>
      <c r="AC48" s="505"/>
      <c r="AD48" s="505"/>
      <c r="AE48" s="505"/>
      <c r="AF48" s="505"/>
      <c r="AG48" s="505"/>
    </row>
    <row r="49" spans="21:42" x14ac:dyDescent="0.35">
      <c r="U49" s="505"/>
      <c r="W49" s="505"/>
      <c r="X49" s="505"/>
      <c r="Y49" s="505"/>
      <c r="Z49" s="505"/>
      <c r="AA49" s="505"/>
      <c r="AB49" s="505"/>
      <c r="AC49" s="505"/>
      <c r="AD49" s="505"/>
      <c r="AE49" s="505"/>
      <c r="AF49" s="505"/>
      <c r="AG49" s="505"/>
    </row>
    <row r="50" spans="21:42" x14ac:dyDescent="0.35">
      <c r="U50" s="505"/>
      <c r="W50" s="505"/>
      <c r="X50" s="505"/>
      <c r="Y50" s="505"/>
      <c r="Z50" s="505"/>
      <c r="AA50" s="505"/>
      <c r="AB50" s="505"/>
      <c r="AC50" s="505"/>
      <c r="AD50" s="505"/>
      <c r="AE50" s="505"/>
      <c r="AF50" s="505"/>
      <c r="AG50" s="505"/>
    </row>
    <row r="51" spans="21:42" x14ac:dyDescent="0.35">
      <c r="X51" s="505"/>
      <c r="AF51" s="505"/>
    </row>
    <row r="52" spans="21:42" x14ac:dyDescent="0.35">
      <c r="W52" s="505"/>
      <c r="X52" s="505"/>
      <c r="Y52" s="505"/>
      <c r="Z52" s="505"/>
      <c r="AA52" s="505"/>
      <c r="AB52" s="505"/>
      <c r="AC52" s="505"/>
      <c r="AD52" s="505"/>
      <c r="AE52" s="505"/>
      <c r="AF52" s="505"/>
      <c r="AG52" s="505"/>
      <c r="AH52" s="505"/>
      <c r="AI52" s="505"/>
      <c r="AJ52" s="505"/>
      <c r="AL52" s="505"/>
      <c r="AM52" s="505"/>
      <c r="AN52" s="505"/>
      <c r="AO52" s="505"/>
      <c r="AP52" s="505"/>
    </row>
    <row r="53" spans="21:42" x14ac:dyDescent="0.35">
      <c r="X53" s="505"/>
      <c r="Y53" s="505"/>
      <c r="AA53" s="505"/>
      <c r="AB53" s="505"/>
      <c r="AC53" s="505"/>
      <c r="AD53" s="505"/>
      <c r="AE53" s="505"/>
      <c r="AF53" s="505"/>
      <c r="AG53" s="505"/>
    </row>
    <row r="54" spans="21:42" x14ac:dyDescent="0.35">
      <c r="X54" s="505"/>
      <c r="AA54" s="505"/>
      <c r="AC54" s="505"/>
      <c r="AD54" s="505"/>
      <c r="AE54" s="505"/>
      <c r="AF54" s="505"/>
      <c r="AH54" s="505"/>
      <c r="AI54" s="505"/>
      <c r="AJ54" s="505"/>
      <c r="AO54" s="505"/>
      <c r="AP54" s="505"/>
    </row>
    <row r="55" spans="21:42" x14ac:dyDescent="0.35">
      <c r="X55" s="505"/>
      <c r="Y55" s="505"/>
      <c r="AA55" s="505"/>
      <c r="AB55" s="505"/>
      <c r="AC55" s="505"/>
      <c r="AD55" s="505"/>
      <c r="AE55" s="505"/>
      <c r="AF55" s="505"/>
      <c r="AG55" s="505"/>
      <c r="AH55" s="505"/>
      <c r="AI55" s="505"/>
      <c r="AJ55" s="505"/>
      <c r="AL55" s="505"/>
      <c r="AM55" s="505"/>
      <c r="AO55" s="505"/>
      <c r="AP55" s="505"/>
    </row>
    <row r="56" spans="21:42" x14ac:dyDescent="0.35">
      <c r="U56" s="505"/>
      <c r="W56" s="505"/>
      <c r="X56" s="505"/>
      <c r="Y56" s="505"/>
      <c r="Z56" s="505"/>
      <c r="AA56" s="505"/>
      <c r="AB56" s="505"/>
      <c r="AC56" s="505"/>
      <c r="AD56" s="505"/>
      <c r="AE56" s="505"/>
      <c r="AF56" s="505"/>
      <c r="AG56" s="505"/>
      <c r="AH56" s="505"/>
      <c r="AI56" s="505"/>
      <c r="AJ56" s="505"/>
      <c r="AK56" s="505"/>
      <c r="AL56" s="505"/>
      <c r="AM56" s="505"/>
      <c r="AN56" s="505"/>
      <c r="AO56" s="505"/>
      <c r="AP56" s="505"/>
    </row>
    <row r="57" spans="21:42" x14ac:dyDescent="0.35">
      <c r="U57" s="505"/>
      <c r="W57" s="505"/>
      <c r="X57" s="505"/>
      <c r="Y57" s="505"/>
      <c r="Z57" s="505"/>
      <c r="AA57" s="505"/>
      <c r="AB57" s="505"/>
      <c r="AC57" s="505"/>
      <c r="AD57" s="505"/>
      <c r="AE57" s="505"/>
      <c r="AF57" s="505"/>
      <c r="AG57" s="505"/>
      <c r="AH57" s="505"/>
      <c r="AI57" s="505"/>
      <c r="AJ57" s="505"/>
      <c r="AK57" s="505"/>
      <c r="AL57" s="505"/>
      <c r="AM57" s="505"/>
      <c r="AN57" s="505"/>
      <c r="AO57" s="505"/>
      <c r="AP57" s="505"/>
    </row>
    <row r="58" spans="21:42" x14ac:dyDescent="0.35">
      <c r="U58" s="505"/>
      <c r="W58" s="505"/>
      <c r="X58" s="505"/>
      <c r="Y58" s="505"/>
      <c r="Z58" s="505"/>
      <c r="AA58" s="505"/>
      <c r="AB58" s="505"/>
      <c r="AC58" s="505"/>
      <c r="AD58" s="505"/>
      <c r="AE58" s="505"/>
      <c r="AF58" s="505"/>
      <c r="AG58" s="505"/>
      <c r="AH58" s="505"/>
      <c r="AI58" s="505"/>
      <c r="AJ58" s="505"/>
      <c r="AK58" s="505"/>
      <c r="AL58" s="505"/>
      <c r="AM58" s="505"/>
      <c r="AN58" s="505"/>
      <c r="AO58" s="505"/>
      <c r="AP58" s="505"/>
    </row>
    <row r="59" spans="21:42" x14ac:dyDescent="0.35">
      <c r="U59" s="505"/>
      <c r="W59" s="505"/>
      <c r="X59" s="505"/>
      <c r="Y59" s="505"/>
      <c r="Z59" s="505"/>
      <c r="AA59" s="505"/>
      <c r="AB59" s="505"/>
      <c r="AC59" s="505"/>
      <c r="AD59" s="505"/>
      <c r="AE59" s="505"/>
      <c r="AF59" s="505"/>
      <c r="AG59" s="505"/>
      <c r="AH59" s="505"/>
      <c r="AI59" s="505"/>
      <c r="AJ59" s="505"/>
      <c r="AK59" s="505"/>
      <c r="AL59" s="505"/>
      <c r="AM59" s="505"/>
      <c r="AN59" s="505"/>
      <c r="AO59" s="505"/>
      <c r="AP59" s="505"/>
    </row>
    <row r="60" spans="21:42" x14ac:dyDescent="0.35">
      <c r="Y60" s="505"/>
      <c r="AA60" s="505"/>
      <c r="AB60" s="505"/>
      <c r="AC60" s="505"/>
      <c r="AD60" s="505"/>
      <c r="AE60" s="505"/>
      <c r="AF60" s="505"/>
      <c r="AG60" s="505"/>
    </row>
    <row r="61" spans="21:42" x14ac:dyDescent="0.35">
      <c r="U61" s="505"/>
      <c r="W61" s="505"/>
      <c r="X61" s="505"/>
      <c r="Y61" s="505"/>
      <c r="Z61" s="505"/>
      <c r="AA61" s="505"/>
      <c r="AB61" s="505"/>
      <c r="AC61" s="505"/>
      <c r="AD61" s="505"/>
      <c r="AE61" s="505"/>
      <c r="AF61" s="505"/>
      <c r="AG61" s="505"/>
      <c r="AH61" s="505"/>
      <c r="AI61" s="505"/>
      <c r="AJ61" s="505"/>
      <c r="AK61" s="505"/>
      <c r="AL61" s="505"/>
      <c r="AM61" s="505"/>
      <c r="AN61" s="505"/>
      <c r="AO61" s="505"/>
      <c r="AP61" s="505"/>
    </row>
    <row r="62" spans="21:42" x14ac:dyDescent="0.35">
      <c r="X62" s="505"/>
      <c r="AA62" s="505"/>
      <c r="AB62" s="505"/>
      <c r="AC62" s="505"/>
      <c r="AE62" s="505"/>
      <c r="AF62" s="505"/>
      <c r="AI62" s="505"/>
    </row>
    <row r="63" spans="21:42" x14ac:dyDescent="0.35">
      <c r="U63" s="505"/>
      <c r="W63" s="505"/>
      <c r="X63" s="505"/>
      <c r="Y63" s="505"/>
      <c r="Z63" s="505"/>
      <c r="AA63" s="505"/>
      <c r="AB63" s="505"/>
      <c r="AC63" s="505"/>
      <c r="AD63" s="505"/>
      <c r="AE63" s="505"/>
      <c r="AF63" s="505"/>
      <c r="AG63" s="505"/>
    </row>
    <row r="64" spans="21:42" x14ac:dyDescent="0.35">
      <c r="U64" s="505"/>
      <c r="W64" s="505"/>
      <c r="X64" s="505"/>
      <c r="Y64" s="505"/>
      <c r="Z64" s="505"/>
      <c r="AA64" s="505"/>
      <c r="AB64" s="505"/>
      <c r="AC64" s="505"/>
      <c r="AD64" s="505"/>
      <c r="AE64" s="505"/>
      <c r="AF64" s="505"/>
      <c r="AG64" s="505"/>
    </row>
    <row r="65" spans="21:33" x14ac:dyDescent="0.35">
      <c r="U65" s="505"/>
      <c r="W65" s="505"/>
      <c r="X65" s="505"/>
      <c r="Y65" s="505"/>
      <c r="Z65" s="505"/>
      <c r="AA65" s="505"/>
      <c r="AB65" s="505"/>
      <c r="AC65" s="505"/>
      <c r="AD65" s="505"/>
      <c r="AE65" s="505"/>
      <c r="AF65" s="505"/>
      <c r="AG65" s="505"/>
    </row>
    <row r="66" spans="21:33" x14ac:dyDescent="0.35">
      <c r="U66" s="505"/>
      <c r="W66" s="505"/>
      <c r="X66" s="505"/>
      <c r="Y66" s="505"/>
      <c r="Z66" s="505"/>
      <c r="AA66" s="505"/>
      <c r="AB66" s="505"/>
      <c r="AC66" s="505"/>
      <c r="AD66" s="505"/>
      <c r="AE66" s="505"/>
      <c r="AF66" s="505"/>
      <c r="AG66" s="505"/>
    </row>
    <row r="68" spans="21:33" x14ac:dyDescent="0.35">
      <c r="U68" s="505"/>
      <c r="W68" s="505"/>
      <c r="X68" s="505"/>
      <c r="Y68" s="505"/>
      <c r="Z68" s="505"/>
      <c r="AA68" s="505"/>
      <c r="AB68" s="505"/>
      <c r="AC68" s="505"/>
      <c r="AD68" s="505"/>
      <c r="AE68" s="505"/>
      <c r="AF68" s="505"/>
      <c r="AG68" s="505"/>
    </row>
    <row r="69" spans="21:33" x14ac:dyDescent="0.35">
      <c r="X69" s="505"/>
      <c r="AF69" s="505"/>
    </row>
  </sheetData>
  <pageMargins left="0.7" right="0.7" top="0.75" bottom="0.75" header="0.3" footer="0.3"/>
  <pageSetup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CC"/>
  </sheetPr>
  <dimension ref="A1:R75"/>
  <sheetViews>
    <sheetView topLeftCell="A3" zoomScale="80" zoomScaleNormal="80" workbookViewId="0">
      <selection activeCell="A4" sqref="A4:XFD4"/>
    </sheetView>
  </sheetViews>
  <sheetFormatPr defaultRowHeight="14.4" x14ac:dyDescent="0.3"/>
  <cols>
    <col min="1" max="1" width="33" customWidth="1"/>
    <col min="2" max="2" width="14.77734375" customWidth="1"/>
    <col min="3" max="10" width="27.77734375" customWidth="1"/>
    <col min="11" max="11" width="24.5546875" customWidth="1"/>
    <col min="12" max="18" width="27.6640625" customWidth="1"/>
  </cols>
  <sheetData>
    <row r="1" spans="1:18" x14ac:dyDescent="0.3">
      <c r="A1" s="243" t="s">
        <v>710</v>
      </c>
      <c r="B1" s="243" t="s">
        <v>721</v>
      </c>
    </row>
    <row r="2" spans="1:18" x14ac:dyDescent="0.3">
      <c r="A2" s="243" t="s">
        <v>711</v>
      </c>
      <c r="B2" s="243" t="s">
        <v>712</v>
      </c>
    </row>
    <row r="3" spans="1:18" x14ac:dyDescent="0.3">
      <c r="A3" s="243" t="s">
        <v>713</v>
      </c>
      <c r="B3" s="243" t="s">
        <v>714</v>
      </c>
    </row>
    <row r="5" spans="1:18" x14ac:dyDescent="0.3">
      <c r="A5" s="243" t="s">
        <v>1207</v>
      </c>
    </row>
    <row r="6" spans="1:18" x14ac:dyDescent="0.3">
      <c r="A6" s="243"/>
    </row>
    <row r="7" spans="1:18" x14ac:dyDescent="0.3">
      <c r="A7" t="s">
        <v>387</v>
      </c>
      <c r="B7" t="s">
        <v>388</v>
      </c>
    </row>
    <row r="8" spans="1:18" x14ac:dyDescent="0.3">
      <c r="A8" t="s">
        <v>389</v>
      </c>
      <c r="B8" t="s">
        <v>1023</v>
      </c>
    </row>
    <row r="9" spans="1:18" x14ac:dyDescent="0.3">
      <c r="A9" t="s">
        <v>391</v>
      </c>
      <c r="B9" t="s">
        <v>392</v>
      </c>
    </row>
    <row r="10" spans="1:18" x14ac:dyDescent="0.3">
      <c r="A10" t="s">
        <v>393</v>
      </c>
      <c r="B10" t="s">
        <v>394</v>
      </c>
      <c r="J10" s="249" t="s">
        <v>708</v>
      </c>
    </row>
    <row r="13" spans="1:18" s="240" customFormat="1" x14ac:dyDescent="0.3">
      <c r="A13" s="241" t="s">
        <v>722</v>
      </c>
      <c r="B13" s="241"/>
      <c r="C13" s="241"/>
      <c r="D13" s="241"/>
      <c r="E13" s="241"/>
      <c r="F13" s="241"/>
      <c r="G13" s="241"/>
      <c r="H13" s="241"/>
      <c r="I13" s="241"/>
      <c r="J13" s="241"/>
    </row>
    <row r="14" spans="1:18" ht="43.2" x14ac:dyDescent="0.3">
      <c r="A14" s="183" t="s">
        <v>395</v>
      </c>
      <c r="B14" s="183" t="s">
        <v>396</v>
      </c>
      <c r="C14" s="246" t="s">
        <v>715</v>
      </c>
      <c r="D14" s="246" t="s">
        <v>716</v>
      </c>
      <c r="E14" s="246" t="s">
        <v>718</v>
      </c>
      <c r="F14" s="246" t="s">
        <v>671</v>
      </c>
      <c r="G14" s="246" t="s">
        <v>720</v>
      </c>
      <c r="H14" s="246" t="s">
        <v>719</v>
      </c>
      <c r="I14" s="246" t="s">
        <v>672</v>
      </c>
      <c r="J14" s="246" t="s">
        <v>717</v>
      </c>
      <c r="L14" s="246" t="s">
        <v>715</v>
      </c>
      <c r="M14" s="246" t="s">
        <v>716</v>
      </c>
      <c r="N14" s="246" t="s">
        <v>718</v>
      </c>
      <c r="O14" s="246" t="s">
        <v>671</v>
      </c>
      <c r="P14" s="246" t="s">
        <v>720</v>
      </c>
      <c r="Q14" s="246" t="s">
        <v>719</v>
      </c>
      <c r="R14" s="246" t="s">
        <v>672</v>
      </c>
    </row>
    <row r="15" spans="1:18" x14ac:dyDescent="0.3">
      <c r="A15" t="s">
        <v>397</v>
      </c>
      <c r="B15" t="s">
        <v>398</v>
      </c>
      <c r="C15" s="10">
        <v>5.4024758999999998</v>
      </c>
      <c r="D15" s="10">
        <v>5.6616474999999999</v>
      </c>
      <c r="E15" s="10">
        <v>5.6695814999999996</v>
      </c>
      <c r="F15" s="10">
        <v>5.5017810999999996</v>
      </c>
      <c r="G15" s="10">
        <v>3.1063722999999999</v>
      </c>
      <c r="H15" s="10">
        <v>3.8447531000000001</v>
      </c>
      <c r="I15" s="10">
        <v>3.3666890999999999</v>
      </c>
      <c r="J15" s="10">
        <v>5.4104099000000003</v>
      </c>
      <c r="L15" s="230">
        <f>(C15-$J15)/$J15</f>
        <v>-1.46643233075567E-3</v>
      </c>
      <c r="M15" s="230">
        <f t="shared" ref="M15:R15" si="0">(D15-$J15)/$J15</f>
        <v>4.6435964121683201E-2</v>
      </c>
      <c r="N15" s="230">
        <f t="shared" si="0"/>
        <v>4.7902396452438711E-2</v>
      </c>
      <c r="O15" s="230">
        <f t="shared" si="0"/>
        <v>1.6888036523812978E-2</v>
      </c>
      <c r="P15" s="230">
        <f t="shared" si="0"/>
        <v>-0.42585268816693544</v>
      </c>
      <c r="Q15" s="230">
        <f t="shared" si="0"/>
        <v>-0.28937859218393047</v>
      </c>
      <c r="R15" s="230">
        <f t="shared" si="0"/>
        <v>-0.37773862568157734</v>
      </c>
    </row>
    <row r="16" spans="1:18" x14ac:dyDescent="0.3">
      <c r="A16" t="s">
        <v>399</v>
      </c>
      <c r="B16" t="s">
        <v>400</v>
      </c>
      <c r="C16" s="10">
        <v>2.9423158000000002E-7</v>
      </c>
      <c r="D16" s="10">
        <v>3.2543526999999998E-7</v>
      </c>
      <c r="E16" s="10">
        <v>3.301057E-7</v>
      </c>
      <c r="F16" s="10">
        <v>3.0428071999999999E-7</v>
      </c>
      <c r="G16" s="10">
        <v>1.0495169E-7</v>
      </c>
      <c r="H16" s="10">
        <v>1.938511E-7</v>
      </c>
      <c r="I16" s="10">
        <v>1.2027566E-7</v>
      </c>
      <c r="J16" s="10">
        <v>2.9890201E-7</v>
      </c>
      <c r="L16" s="230">
        <f t="shared" ref="L16:L30" si="1">(C16-$J16)/$J16</f>
        <v>-1.562528803335907E-2</v>
      </c>
      <c r="M16" s="230">
        <f t="shared" ref="M16:M30" si="2">(D16-$J16)/$J16</f>
        <v>8.876909191744807E-2</v>
      </c>
      <c r="N16" s="230">
        <f t="shared" ref="N16:N30" si="3">(E16-$J16)/$J16</f>
        <v>0.10439437995080732</v>
      </c>
      <c r="O16" s="230">
        <f t="shared" ref="O16:O30" si="4">(F16-$J16)/$J16</f>
        <v>1.7994894045710808E-2</v>
      </c>
      <c r="P16" s="230">
        <f t="shared" ref="P16:P30" si="5">(G16-$J16)/$J16</f>
        <v>-0.64887593094472673</v>
      </c>
      <c r="Q16" s="230">
        <f t="shared" ref="Q16:Q30" si="6">(H16-$J16)/$J16</f>
        <v>-0.35145601730814724</v>
      </c>
      <c r="R16" s="230">
        <f t="shared" ref="R16:R30" si="7">(I16-$J16)/$J16</f>
        <v>-0.59760839346647421</v>
      </c>
    </row>
    <row r="17" spans="1:18" x14ac:dyDescent="0.3">
      <c r="A17" t="s">
        <v>1024</v>
      </c>
      <c r="B17" t="s">
        <v>401</v>
      </c>
      <c r="C17" s="10">
        <v>0.16058828999999999</v>
      </c>
      <c r="D17" s="10">
        <v>0.17796451999999999</v>
      </c>
      <c r="E17" s="10">
        <v>0.18008906999999999</v>
      </c>
      <c r="F17" s="10">
        <v>0.17261501000000001</v>
      </c>
      <c r="G17" s="10">
        <v>7.2557735999999998E-2</v>
      </c>
      <c r="H17" s="10">
        <v>0.12206267</v>
      </c>
      <c r="I17" s="10">
        <v>0.10076905</v>
      </c>
      <c r="J17" s="10">
        <v>0.16271284</v>
      </c>
      <c r="L17" s="230">
        <f t="shared" si="1"/>
        <v>-1.3057051920426211E-2</v>
      </c>
      <c r="M17" s="230">
        <f t="shared" si="2"/>
        <v>9.3733721321562519E-2</v>
      </c>
      <c r="N17" s="230">
        <f t="shared" si="3"/>
        <v>0.10679077324198873</v>
      </c>
      <c r="O17" s="230">
        <f t="shared" si="4"/>
        <v>6.0856721571573673E-2</v>
      </c>
      <c r="P17" s="230">
        <f t="shared" si="5"/>
        <v>-0.55407492119245172</v>
      </c>
      <c r="Q17" s="230">
        <f t="shared" si="6"/>
        <v>-0.24982767186658411</v>
      </c>
      <c r="R17" s="230">
        <f t="shared" si="7"/>
        <v>-0.3806939267976639</v>
      </c>
    </row>
    <row r="18" spans="1:18" x14ac:dyDescent="0.3">
      <c r="A18" t="s">
        <v>1025</v>
      </c>
      <c r="B18" t="s">
        <v>402</v>
      </c>
      <c r="C18" s="10">
        <v>1.6585583000000001E-2</v>
      </c>
      <c r="D18" s="10">
        <v>1.7296433999999999E-2</v>
      </c>
      <c r="E18" s="10">
        <v>1.7465062E-2</v>
      </c>
      <c r="F18" s="10">
        <v>1.7864471999999999E-2</v>
      </c>
      <c r="G18" s="10">
        <v>1.0687523000000001E-2</v>
      </c>
      <c r="H18" s="10">
        <v>1.4998684999999999E-2</v>
      </c>
      <c r="I18" s="10">
        <v>1.6136603999999999E-2</v>
      </c>
      <c r="J18" s="10">
        <v>1.6754209999999999E-2</v>
      </c>
      <c r="L18" s="230">
        <f t="shared" si="1"/>
        <v>-1.0064753873802321E-2</v>
      </c>
      <c r="M18" s="230">
        <f t="shared" si="2"/>
        <v>3.2363447754325682E-2</v>
      </c>
      <c r="N18" s="230">
        <f t="shared" si="3"/>
        <v>4.2428261314618923E-2</v>
      </c>
      <c r="O18" s="230">
        <f t="shared" si="4"/>
        <v>6.6267642580581293E-2</v>
      </c>
      <c r="P18" s="230">
        <f t="shared" si="5"/>
        <v>-0.36209925744036864</v>
      </c>
      <c r="Q18" s="230">
        <f t="shared" si="6"/>
        <v>-0.10478112665413644</v>
      </c>
      <c r="R18" s="230">
        <f t="shared" si="7"/>
        <v>-3.686273479919374E-2</v>
      </c>
    </row>
    <row r="19" spans="1:18" x14ac:dyDescent="0.3">
      <c r="A19" t="s">
        <v>1026</v>
      </c>
      <c r="B19" t="s">
        <v>403</v>
      </c>
      <c r="C19" s="10">
        <v>1.9161526E-7</v>
      </c>
      <c r="D19" s="10">
        <v>1.9845043E-7</v>
      </c>
      <c r="E19" s="10">
        <v>1.9918936999999999E-7</v>
      </c>
      <c r="F19" s="10">
        <v>1.9627800999999999E-7</v>
      </c>
      <c r="G19" s="10">
        <v>1.2130699000000001E-7</v>
      </c>
      <c r="H19" s="10">
        <v>1.4078039999999999E-7</v>
      </c>
      <c r="I19" s="10">
        <v>1.3248593E-7</v>
      </c>
      <c r="J19" s="10">
        <v>1.9235419999999999E-7</v>
      </c>
      <c r="L19" s="230">
        <f t="shared" si="1"/>
        <v>-3.8415589573816693E-3</v>
      </c>
      <c r="M19" s="230">
        <f t="shared" si="2"/>
        <v>3.1692731429831103E-2</v>
      </c>
      <c r="N19" s="230">
        <f t="shared" si="3"/>
        <v>3.5534290387212772E-2</v>
      </c>
      <c r="O19" s="230">
        <f t="shared" si="4"/>
        <v>2.0398878735166697E-2</v>
      </c>
      <c r="P19" s="230">
        <f t="shared" si="5"/>
        <v>-0.36935616690459572</v>
      </c>
      <c r="Q19" s="230">
        <f t="shared" si="6"/>
        <v>-0.26811891812084165</v>
      </c>
      <c r="R19" s="230">
        <f t="shared" si="7"/>
        <v>-0.31123973378278197</v>
      </c>
    </row>
    <row r="20" spans="1:18" x14ac:dyDescent="0.3">
      <c r="A20" t="s">
        <v>1027</v>
      </c>
      <c r="B20" t="s">
        <v>404</v>
      </c>
      <c r="C20" s="10">
        <v>6.2625649000000005E-8</v>
      </c>
      <c r="D20" s="10">
        <v>6.4794609999999994E-8</v>
      </c>
      <c r="E20" s="10">
        <v>6.488539E-8</v>
      </c>
      <c r="F20" s="10">
        <v>6.4029984999999997E-8</v>
      </c>
      <c r="G20" s="10">
        <v>4.2071617999999998E-8</v>
      </c>
      <c r="H20" s="10">
        <v>4.8327951000000002E-8</v>
      </c>
      <c r="I20" s="10">
        <v>4.5890897999999998E-8</v>
      </c>
      <c r="J20" s="10">
        <v>6.2716430000000002E-8</v>
      </c>
      <c r="L20" s="230">
        <f t="shared" si="1"/>
        <v>-1.4474835382051717E-3</v>
      </c>
      <c r="M20" s="230">
        <f t="shared" si="2"/>
        <v>3.3136133545866558E-2</v>
      </c>
      <c r="N20" s="230">
        <f t="shared" si="3"/>
        <v>3.4583601139286761E-2</v>
      </c>
      <c r="O20" s="230">
        <f t="shared" si="4"/>
        <v>2.0944352221578855E-2</v>
      </c>
      <c r="P20" s="230">
        <f t="shared" si="5"/>
        <v>-0.32917709123430661</v>
      </c>
      <c r="Q20" s="230">
        <f t="shared" si="6"/>
        <v>-0.22942120589453194</v>
      </c>
      <c r="R20" s="230">
        <f t="shared" si="7"/>
        <v>-0.26827949231166387</v>
      </c>
    </row>
    <row r="21" spans="1:18" x14ac:dyDescent="0.3">
      <c r="A21" t="s">
        <v>1028</v>
      </c>
      <c r="B21" t="s">
        <v>404</v>
      </c>
      <c r="C21" s="10">
        <v>1.7641155999999999E-9</v>
      </c>
      <c r="D21" s="10">
        <v>1.8274131E-9</v>
      </c>
      <c r="E21" s="10">
        <v>1.8627471999999999E-9</v>
      </c>
      <c r="F21" s="10">
        <v>1.8170447E-9</v>
      </c>
      <c r="G21" s="10">
        <v>1.3423917000000001E-9</v>
      </c>
      <c r="H21" s="10">
        <v>1.5227265000000001E-9</v>
      </c>
      <c r="I21" s="10">
        <v>1.3925197E-9</v>
      </c>
      <c r="J21" s="10">
        <v>1.7994496999999999E-9</v>
      </c>
      <c r="L21" s="230">
        <f t="shared" si="1"/>
        <v>-1.963605873506772E-2</v>
      </c>
      <c r="M21" s="230">
        <f t="shared" si="2"/>
        <v>1.5539973137343057E-2</v>
      </c>
      <c r="N21" s="230">
        <f t="shared" si="3"/>
        <v>3.5176031872410779E-2</v>
      </c>
      <c r="O21" s="230">
        <f t="shared" si="4"/>
        <v>9.777989348632575E-3</v>
      </c>
      <c r="P21" s="230">
        <f t="shared" si="5"/>
        <v>-0.25399876417773715</v>
      </c>
      <c r="Q21" s="230">
        <f t="shared" si="6"/>
        <v>-0.15378212572432554</v>
      </c>
      <c r="R21" s="230">
        <f t="shared" si="7"/>
        <v>-0.22614135866092838</v>
      </c>
    </row>
    <row r="22" spans="1:18" x14ac:dyDescent="0.3">
      <c r="A22" t="s">
        <v>1029</v>
      </c>
      <c r="B22" t="s">
        <v>405</v>
      </c>
      <c r="C22" s="10">
        <v>2.4179809E-2</v>
      </c>
      <c r="D22" s="10">
        <v>2.5382293E-2</v>
      </c>
      <c r="E22" s="10">
        <v>2.5451433999999998E-2</v>
      </c>
      <c r="F22" s="10">
        <v>2.4841073000000002E-2</v>
      </c>
      <c r="G22" s="10">
        <v>1.487631E-2</v>
      </c>
      <c r="H22" s="10">
        <v>1.8302189999999999E-2</v>
      </c>
      <c r="I22" s="10">
        <v>1.6563267999999999E-2</v>
      </c>
      <c r="J22" s="10">
        <v>2.4248949999999998E-2</v>
      </c>
      <c r="L22" s="230">
        <f t="shared" si="1"/>
        <v>-2.8512987160268081E-3</v>
      </c>
      <c r="M22" s="230">
        <f t="shared" si="2"/>
        <v>4.6737817513748101E-2</v>
      </c>
      <c r="N22" s="230">
        <f t="shared" si="3"/>
        <v>4.958911622977491E-2</v>
      </c>
      <c r="O22" s="230">
        <f t="shared" si="4"/>
        <v>2.4418500594871263E-2</v>
      </c>
      <c r="P22" s="230">
        <f t="shared" si="5"/>
        <v>-0.38651735435967327</v>
      </c>
      <c r="Q22" s="230">
        <f t="shared" si="6"/>
        <v>-0.24523783504028007</v>
      </c>
      <c r="R22" s="230">
        <f t="shared" si="7"/>
        <v>-0.31694906377389537</v>
      </c>
    </row>
    <row r="23" spans="1:18" x14ac:dyDescent="0.3">
      <c r="A23" t="s">
        <v>1030</v>
      </c>
      <c r="B23" t="s">
        <v>406</v>
      </c>
      <c r="C23" s="10">
        <v>1.5832979000000001E-4</v>
      </c>
      <c r="D23" s="10">
        <v>1.7025518999999999E-4</v>
      </c>
      <c r="E23" s="10">
        <v>1.7086814999999999E-4</v>
      </c>
      <c r="F23" s="10">
        <v>1.6685652000000001E-4</v>
      </c>
      <c r="G23" s="10">
        <v>9.533954E-5</v>
      </c>
      <c r="H23" s="10">
        <v>1.2931506E-4</v>
      </c>
      <c r="I23" s="10">
        <v>1.178859E-4</v>
      </c>
      <c r="J23" s="10">
        <v>1.5894275000000001E-4</v>
      </c>
      <c r="L23" s="230">
        <f t="shared" si="1"/>
        <v>-3.8564829160185011E-3</v>
      </c>
      <c r="M23" s="230">
        <f t="shared" si="2"/>
        <v>7.1173048157276625E-2</v>
      </c>
      <c r="N23" s="230">
        <f t="shared" si="3"/>
        <v>7.5029531073295117E-2</v>
      </c>
      <c r="O23" s="230">
        <f t="shared" si="4"/>
        <v>4.9790065919961768E-2</v>
      </c>
      <c r="P23" s="230">
        <f t="shared" si="5"/>
        <v>-0.40016427298508428</v>
      </c>
      <c r="Q23" s="230">
        <f t="shared" si="6"/>
        <v>-0.18640479040409211</v>
      </c>
      <c r="R23" s="230">
        <f t="shared" si="7"/>
        <v>-0.25831219102475583</v>
      </c>
    </row>
    <row r="24" spans="1:18" x14ac:dyDescent="0.3">
      <c r="A24" t="s">
        <v>1031</v>
      </c>
      <c r="B24" t="s">
        <v>407</v>
      </c>
      <c r="C24" s="10">
        <v>3.4809929999999999E-3</v>
      </c>
      <c r="D24" s="10">
        <v>3.6742610999999999E-3</v>
      </c>
      <c r="E24" s="10">
        <v>3.6973675000000002E-3</v>
      </c>
      <c r="F24" s="10">
        <v>3.6486115000000001E-3</v>
      </c>
      <c r="G24" s="10">
        <v>2.4969533999999998E-3</v>
      </c>
      <c r="H24" s="10">
        <v>3.0475748999999998E-3</v>
      </c>
      <c r="I24" s="10">
        <v>2.908669E-3</v>
      </c>
      <c r="J24" s="10">
        <v>3.5040993999999998E-3</v>
      </c>
      <c r="L24" s="230">
        <f t="shared" si="1"/>
        <v>-6.5941051786373049E-3</v>
      </c>
      <c r="M24" s="230">
        <f t="shared" si="2"/>
        <v>4.8560751444436792E-2</v>
      </c>
      <c r="N24" s="230">
        <f t="shared" si="3"/>
        <v>5.5154856623074219E-2</v>
      </c>
      <c r="O24" s="230">
        <f t="shared" si="4"/>
        <v>4.1240867767621071E-2</v>
      </c>
      <c r="P24" s="230">
        <f t="shared" si="5"/>
        <v>-0.2874193580239191</v>
      </c>
      <c r="Q24" s="230">
        <f t="shared" si="6"/>
        <v>-0.13028297656168086</v>
      </c>
      <c r="R24" s="230">
        <f t="shared" si="7"/>
        <v>-0.16992394679214859</v>
      </c>
    </row>
    <row r="25" spans="1:18" x14ac:dyDescent="0.3">
      <c r="A25" t="s">
        <v>1032</v>
      </c>
      <c r="B25" t="s">
        <v>408</v>
      </c>
      <c r="C25" s="10">
        <v>3.8504967000000001E-2</v>
      </c>
      <c r="D25" s="10">
        <v>4.0718786999999999E-2</v>
      </c>
      <c r="E25" s="10">
        <v>4.0980734999999997E-2</v>
      </c>
      <c r="F25" s="10">
        <v>4.0308676000000002E-2</v>
      </c>
      <c r="G25" s="10">
        <v>2.8770523999999999E-2</v>
      </c>
      <c r="H25" s="10">
        <v>3.5077704000000001E-2</v>
      </c>
      <c r="I25" s="10">
        <v>3.3163005000000002E-2</v>
      </c>
      <c r="J25" s="10">
        <v>3.8766914999999999E-2</v>
      </c>
      <c r="L25" s="230">
        <f t="shared" si="1"/>
        <v>-6.7569988481156673E-3</v>
      </c>
      <c r="M25" s="230">
        <f t="shared" si="2"/>
        <v>5.0348912210321617E-2</v>
      </c>
      <c r="N25" s="230">
        <f t="shared" si="3"/>
        <v>5.7105911058437285E-2</v>
      </c>
      <c r="O25" s="230">
        <f t="shared" si="4"/>
        <v>3.9770020389809264E-2</v>
      </c>
      <c r="P25" s="230">
        <f t="shared" si="5"/>
        <v>-0.25785882111073322</v>
      </c>
      <c r="Q25" s="230">
        <f t="shared" si="6"/>
        <v>-9.5163904582038522E-2</v>
      </c>
      <c r="R25" s="230">
        <f t="shared" si="7"/>
        <v>-0.1445539321351724</v>
      </c>
    </row>
    <row r="26" spans="1:18" x14ac:dyDescent="0.3">
      <c r="A26" t="s">
        <v>1033</v>
      </c>
      <c r="B26" t="s">
        <v>409</v>
      </c>
      <c r="C26" s="10">
        <v>70.493312000000003</v>
      </c>
      <c r="D26" s="10">
        <v>74.751047</v>
      </c>
      <c r="E26" s="10">
        <v>75.157961</v>
      </c>
      <c r="F26" s="10">
        <v>72.393309000000002</v>
      </c>
      <c r="G26" s="10">
        <v>53.172868000000001</v>
      </c>
      <c r="H26" s="10">
        <v>65.306607999999997</v>
      </c>
      <c r="I26" s="10">
        <v>57.430107999999997</v>
      </c>
      <c r="J26" s="10">
        <v>70.900226000000004</v>
      </c>
      <c r="L26" s="230">
        <f t="shared" si="1"/>
        <v>-5.7392482782777088E-3</v>
      </c>
      <c r="M26" s="230">
        <f t="shared" si="2"/>
        <v>5.4313240129869204E-2</v>
      </c>
      <c r="N26" s="230">
        <f t="shared" si="3"/>
        <v>6.0052488408146913E-2</v>
      </c>
      <c r="O26" s="230">
        <f t="shared" si="4"/>
        <v>2.1058931462362315E-2</v>
      </c>
      <c r="P26" s="230">
        <f t="shared" si="5"/>
        <v>-0.25003246110950339</v>
      </c>
      <c r="Q26" s="230">
        <f t="shared" si="6"/>
        <v>-7.889421960375706E-2</v>
      </c>
      <c r="R26" s="230">
        <f t="shared" si="7"/>
        <v>-0.18998695434341784</v>
      </c>
    </row>
    <row r="27" spans="1:18" x14ac:dyDescent="0.3">
      <c r="A27" t="s">
        <v>410</v>
      </c>
      <c r="B27" t="s">
        <v>411</v>
      </c>
      <c r="C27" s="10">
        <v>13.733243</v>
      </c>
      <c r="D27" s="10">
        <v>13.89809</v>
      </c>
      <c r="E27" s="10">
        <v>13.963258</v>
      </c>
      <c r="F27" s="10">
        <v>14.394983</v>
      </c>
      <c r="G27" s="10">
        <v>17.510055000000001</v>
      </c>
      <c r="H27" s="10">
        <v>17.979704999999999</v>
      </c>
      <c r="I27" s="10">
        <v>19.209689999999998</v>
      </c>
      <c r="J27" s="10">
        <v>13.798411</v>
      </c>
      <c r="L27" s="230">
        <f t="shared" si="1"/>
        <v>-4.7228626542577907E-3</v>
      </c>
      <c r="M27" s="230">
        <f t="shared" si="2"/>
        <v>7.2239477429683809E-3</v>
      </c>
      <c r="N27" s="230">
        <f t="shared" si="3"/>
        <v>1.1946810397226171E-2</v>
      </c>
      <c r="O27" s="230">
        <f t="shared" si="4"/>
        <v>4.3234833344216239E-2</v>
      </c>
      <c r="P27" s="230">
        <f t="shared" si="5"/>
        <v>0.26899068305763624</v>
      </c>
      <c r="Q27" s="230">
        <f t="shared" si="6"/>
        <v>0.30302721088681872</v>
      </c>
      <c r="R27" s="230">
        <f t="shared" si="7"/>
        <v>0.392166822687047</v>
      </c>
    </row>
    <row r="28" spans="1:18" x14ac:dyDescent="0.3">
      <c r="A28" t="s">
        <v>1034</v>
      </c>
      <c r="B28" t="s">
        <v>412</v>
      </c>
      <c r="C28" s="10">
        <v>2.2951481</v>
      </c>
      <c r="D28" s="10">
        <v>2.1507844999999999</v>
      </c>
      <c r="E28" s="10">
        <v>2.1896955</v>
      </c>
      <c r="F28" s="10">
        <v>2.4899089000000001</v>
      </c>
      <c r="G28" s="10">
        <v>1.9339218</v>
      </c>
      <c r="H28" s="10">
        <v>1.5226295000000001</v>
      </c>
      <c r="I28" s="10">
        <v>2.3779381000000002</v>
      </c>
      <c r="J28" s="10">
        <v>2.3340591000000002</v>
      </c>
      <c r="L28" s="230">
        <f t="shared" si="1"/>
        <v>-1.6670957474898617E-2</v>
      </c>
      <c r="M28" s="230">
        <f t="shared" si="2"/>
        <v>-7.8521833487421241E-2</v>
      </c>
      <c r="N28" s="230">
        <f t="shared" si="3"/>
        <v>-6.1850876012522621E-2</v>
      </c>
      <c r="O28" s="230">
        <f t="shared" si="4"/>
        <v>6.6772002474144679E-2</v>
      </c>
      <c r="P28" s="230">
        <f t="shared" si="5"/>
        <v>-0.17143409093625783</v>
      </c>
      <c r="Q28" s="230">
        <f t="shared" si="6"/>
        <v>-0.34764740961357837</v>
      </c>
      <c r="R28" s="230">
        <f t="shared" si="7"/>
        <v>1.8799438283289397E-2</v>
      </c>
    </row>
    <row r="29" spans="1:18" x14ac:dyDescent="0.3">
      <c r="A29" t="s">
        <v>1035</v>
      </c>
      <c r="B29" t="s">
        <v>21</v>
      </c>
      <c r="C29" s="10">
        <v>85.466635999999994</v>
      </c>
      <c r="D29" s="10">
        <v>90.019260000000003</v>
      </c>
      <c r="E29" s="10">
        <v>89.633994999999999</v>
      </c>
      <c r="F29" s="10">
        <v>86.726752000000005</v>
      </c>
      <c r="G29" s="10">
        <v>83.013604999999998</v>
      </c>
      <c r="H29" s="10">
        <v>95.984043999999997</v>
      </c>
      <c r="I29" s="10">
        <v>87.701301000000001</v>
      </c>
      <c r="J29" s="10">
        <v>85.081371000000004</v>
      </c>
      <c r="L29" s="230">
        <f t="shared" si="1"/>
        <v>4.5281945444907053E-3</v>
      </c>
      <c r="M29" s="230">
        <f t="shared" si="2"/>
        <v>5.8037252361624478E-2</v>
      </c>
      <c r="N29" s="230">
        <f t="shared" si="3"/>
        <v>5.3509057817133603E-2</v>
      </c>
      <c r="O29" s="230">
        <f t="shared" si="4"/>
        <v>1.933891027684545E-2</v>
      </c>
      <c r="P29" s="230">
        <f t="shared" si="5"/>
        <v>-2.4303393042408847E-2</v>
      </c>
      <c r="Q29" s="230">
        <f t="shared" si="6"/>
        <v>0.1281440681062837</v>
      </c>
      <c r="R29" s="230">
        <f t="shared" si="7"/>
        <v>3.0793227344679205E-2</v>
      </c>
    </row>
    <row r="30" spans="1:18" x14ac:dyDescent="0.3">
      <c r="A30" t="s">
        <v>1036</v>
      </c>
      <c r="B30" t="s">
        <v>413</v>
      </c>
      <c r="C30" s="10">
        <v>1.6893737000000001E-4</v>
      </c>
      <c r="D30" s="10">
        <v>1.7022827E-4</v>
      </c>
      <c r="E30" s="10">
        <v>1.7030001999999999E-4</v>
      </c>
      <c r="F30" s="10">
        <v>1.6987866000000001E-4</v>
      </c>
      <c r="G30" s="10">
        <v>5.9088870999999997E-5</v>
      </c>
      <c r="H30" s="10">
        <v>6.2766644000000003E-5</v>
      </c>
      <c r="I30" s="10">
        <v>6.1566192000000005E-5</v>
      </c>
      <c r="J30" s="10">
        <v>1.6900912E-4</v>
      </c>
      <c r="L30" s="230">
        <f t="shared" si="1"/>
        <v>-4.2453330329151061E-4</v>
      </c>
      <c r="M30" s="230">
        <f t="shared" si="2"/>
        <v>7.213516051678158E-3</v>
      </c>
      <c r="N30" s="230">
        <f t="shared" si="3"/>
        <v>7.6380493549696683E-3</v>
      </c>
      <c r="O30" s="230">
        <f t="shared" si="4"/>
        <v>5.1449294570612833E-3</v>
      </c>
      <c r="P30" s="230">
        <f t="shared" si="5"/>
        <v>-0.65038057709548458</v>
      </c>
      <c r="Q30" s="230">
        <f t="shared" si="6"/>
        <v>-0.62861978099170035</v>
      </c>
      <c r="R30" s="230">
        <f t="shared" si="7"/>
        <v>-0.63572266396038268</v>
      </c>
    </row>
    <row r="34" spans="1:18" s="240" customFormat="1" x14ac:dyDescent="0.3">
      <c r="A34" s="241" t="s">
        <v>723</v>
      </c>
      <c r="B34" s="241"/>
      <c r="C34" s="241"/>
      <c r="D34" s="241"/>
      <c r="E34" s="241"/>
      <c r="F34" s="241"/>
      <c r="G34" s="241"/>
      <c r="H34" s="241"/>
      <c r="I34" s="241"/>
      <c r="J34" s="241"/>
    </row>
    <row r="35" spans="1:18" ht="43.2" x14ac:dyDescent="0.3">
      <c r="A35" s="183" t="s">
        <v>395</v>
      </c>
      <c r="B35" s="183" t="s">
        <v>396</v>
      </c>
      <c r="C35" s="246" t="s">
        <v>715</v>
      </c>
      <c r="D35" s="246" t="s">
        <v>716</v>
      </c>
      <c r="E35" s="246" t="s">
        <v>718</v>
      </c>
      <c r="F35" s="246" t="s">
        <v>671</v>
      </c>
      <c r="G35" s="246" t="s">
        <v>720</v>
      </c>
      <c r="H35" s="246" t="s">
        <v>719</v>
      </c>
      <c r="I35" s="246" t="s">
        <v>672</v>
      </c>
      <c r="J35" s="246" t="s">
        <v>717</v>
      </c>
      <c r="L35" s="246" t="s">
        <v>715</v>
      </c>
      <c r="M35" s="246" t="s">
        <v>716</v>
      </c>
      <c r="N35" s="246" t="s">
        <v>718</v>
      </c>
      <c r="O35" s="246" t="s">
        <v>671</v>
      </c>
      <c r="P35" s="246" t="s">
        <v>720</v>
      </c>
      <c r="Q35" s="246" t="s">
        <v>719</v>
      </c>
      <c r="R35" s="246" t="s">
        <v>672</v>
      </c>
    </row>
    <row r="36" spans="1:18" x14ac:dyDescent="0.3">
      <c r="A36" t="s">
        <v>397</v>
      </c>
      <c r="B36" t="s">
        <v>398</v>
      </c>
      <c r="C36" s="10">
        <v>14.524281</v>
      </c>
      <c r="D36" s="10">
        <v>14.528824</v>
      </c>
      <c r="E36" s="10">
        <v>14.528962999999999</v>
      </c>
      <c r="F36" s="10">
        <v>14.526021999999999</v>
      </c>
      <c r="G36" s="10">
        <v>14.484028</v>
      </c>
      <c r="H36" s="10">
        <v>14.496973000000001</v>
      </c>
      <c r="I36" s="10">
        <v>14.488592000000001</v>
      </c>
      <c r="J36" s="10">
        <v>14.524419999999999</v>
      </c>
      <c r="L36" s="248">
        <f>(C36-$J36)/$J36</f>
        <v>-9.5700895456755619E-6</v>
      </c>
      <c r="M36" s="248">
        <f t="shared" ref="M36:M51" si="8">(D36-$J36)/$J36</f>
        <v>3.0321348460048407E-4</v>
      </c>
      <c r="N36" s="248">
        <f t="shared" ref="N36:N51" si="9">(E36-$J36)/$J36</f>
        <v>3.1278357414615961E-4</v>
      </c>
      <c r="O36" s="248">
        <f t="shared" ref="O36:O51" si="10">(F36-$J36)/$J36</f>
        <v>1.1029700325383757E-4</v>
      </c>
      <c r="P36" s="248">
        <f t="shared" ref="P36:P51" si="11">(G36-$J36)/$J36</f>
        <v>-2.7809716326021193E-3</v>
      </c>
      <c r="Q36" s="248">
        <f t="shared" ref="Q36:Q51" si="12">(H36-$J36)/$J36</f>
        <v>-1.8897140126764903E-3</v>
      </c>
      <c r="R36" s="248">
        <f t="shared" ref="R36:R51" si="13">(I36-$J36)/$J36</f>
        <v>-2.4667422175893177E-3</v>
      </c>
    </row>
    <row r="37" spans="1:18" x14ac:dyDescent="0.3">
      <c r="A37" t="s">
        <v>399</v>
      </c>
      <c r="B37" t="s">
        <v>400</v>
      </c>
      <c r="C37" s="10">
        <v>1.2237215000000001E-6</v>
      </c>
      <c r="D37" s="10">
        <v>1.2242684999999999E-6</v>
      </c>
      <c r="E37" s="10">
        <v>1.2243503999999999E-6</v>
      </c>
      <c r="F37" s="10">
        <v>1.2238977E-6</v>
      </c>
      <c r="G37" s="10">
        <v>1.2204032999999999E-6</v>
      </c>
      <c r="H37" s="10">
        <v>1.2219618E-6</v>
      </c>
      <c r="I37" s="10">
        <v>1.2206720000000001E-6</v>
      </c>
      <c r="J37" s="10">
        <v>1.2238034000000001E-6</v>
      </c>
      <c r="L37" s="248">
        <f t="shared" ref="L37:L51" si="14">(C37-$J37)/$J37</f>
        <v>-6.6922513861290887E-5</v>
      </c>
      <c r="M37" s="248">
        <f t="shared" si="8"/>
        <v>3.800447032585934E-4</v>
      </c>
      <c r="N37" s="248">
        <f t="shared" si="9"/>
        <v>4.4696721711988429E-4</v>
      </c>
      <c r="O37" s="248">
        <f t="shared" si="10"/>
        <v>7.7054860282191849E-5</v>
      </c>
      <c r="P37" s="248">
        <f t="shared" si="11"/>
        <v>-2.7783057311331172E-3</v>
      </c>
      <c r="Q37" s="248">
        <f t="shared" si="12"/>
        <v>-1.5048168684611068E-3</v>
      </c>
      <c r="R37" s="248">
        <f t="shared" si="13"/>
        <v>-2.5587443211875357E-3</v>
      </c>
    </row>
    <row r="38" spans="1:18" x14ac:dyDescent="0.3">
      <c r="A38" t="s">
        <v>1024</v>
      </c>
      <c r="B38" t="s">
        <v>401</v>
      </c>
      <c r="C38" s="10">
        <v>0.31011325000000001</v>
      </c>
      <c r="D38" s="10">
        <v>0.31041786999999998</v>
      </c>
      <c r="E38" s="10">
        <v>0.31045510999999998</v>
      </c>
      <c r="F38" s="10">
        <v>0.31032409</v>
      </c>
      <c r="G38" s="10">
        <v>0.30857002</v>
      </c>
      <c r="H38" s="10">
        <v>0.30943787</v>
      </c>
      <c r="I38" s="10">
        <v>0.30906457999999998</v>
      </c>
      <c r="J38" s="10">
        <v>0.3101505</v>
      </c>
      <c r="L38" s="248">
        <f t="shared" si="14"/>
        <v>-1.2010298226180091E-4</v>
      </c>
      <c r="M38" s="248">
        <f t="shared" si="8"/>
        <v>8.6206535214352069E-4</v>
      </c>
      <c r="N38" s="248">
        <f t="shared" si="9"/>
        <v>9.8213609199399314E-4</v>
      </c>
      <c r="O38" s="248">
        <f t="shared" si="10"/>
        <v>5.5969601854583906E-4</v>
      </c>
      <c r="P38" s="248">
        <f t="shared" si="11"/>
        <v>-5.0958486283272002E-3</v>
      </c>
      <c r="Q38" s="248">
        <f t="shared" si="12"/>
        <v>-2.297690959711469E-3</v>
      </c>
      <c r="R38" s="248">
        <f t="shared" si="13"/>
        <v>-3.5012679328262184E-3</v>
      </c>
    </row>
    <row r="39" spans="1:18" x14ac:dyDescent="0.3">
      <c r="A39" t="s">
        <v>1025</v>
      </c>
      <c r="B39" t="s">
        <v>402</v>
      </c>
      <c r="C39" s="10">
        <v>8.8902871999999994E-2</v>
      </c>
      <c r="D39" s="10">
        <v>8.8915333999999999E-2</v>
      </c>
      <c r="E39" s="10">
        <v>8.8918289999999997E-2</v>
      </c>
      <c r="F39" s="10">
        <v>8.8925292000000003E-2</v>
      </c>
      <c r="G39" s="10">
        <v>8.8799475000000003E-2</v>
      </c>
      <c r="H39" s="10">
        <v>8.8875052999999996E-2</v>
      </c>
      <c r="I39" s="10">
        <v>8.8895001000000001E-2</v>
      </c>
      <c r="J39" s="10">
        <v>8.8905828000000006E-2</v>
      </c>
      <c r="L39" s="248">
        <f t="shared" si="14"/>
        <v>-3.324866396848902E-5</v>
      </c>
      <c r="M39" s="248">
        <f t="shared" si="8"/>
        <v>1.0692212438528174E-4</v>
      </c>
      <c r="N39" s="248">
        <f t="shared" si="9"/>
        <v>1.4017078835361466E-4</v>
      </c>
      <c r="O39" s="248">
        <f t="shared" si="10"/>
        <v>2.1892827993229887E-4</v>
      </c>
      <c r="P39" s="248">
        <f t="shared" si="11"/>
        <v>-1.1962432878978807E-3</v>
      </c>
      <c r="Q39" s="248">
        <f t="shared" si="12"/>
        <v>-3.4615278539457112E-4</v>
      </c>
      <c r="R39" s="248">
        <f t="shared" si="13"/>
        <v>-1.217805428908993E-4</v>
      </c>
    </row>
    <row r="40" spans="1:18" x14ac:dyDescent="0.3">
      <c r="A40" t="s">
        <v>1026</v>
      </c>
      <c r="B40" t="s">
        <v>403</v>
      </c>
      <c r="C40" s="10">
        <v>5.2813498E-6</v>
      </c>
      <c r="D40" s="10">
        <v>5.2814696999999999E-6</v>
      </c>
      <c r="E40" s="10">
        <v>5.2814825999999997E-6</v>
      </c>
      <c r="F40" s="10">
        <v>5.2814316000000002E-6</v>
      </c>
      <c r="G40" s="10">
        <v>5.2801173000000001E-6</v>
      </c>
      <c r="H40" s="10">
        <v>5.2804587000000002E-6</v>
      </c>
      <c r="I40" s="10">
        <v>5.2803132999999996E-6</v>
      </c>
      <c r="J40" s="10">
        <v>5.2813627999999997E-6</v>
      </c>
      <c r="L40" s="248">
        <f t="shared" si="14"/>
        <v>-2.4614858876431617E-6</v>
      </c>
      <c r="M40" s="248">
        <f t="shared" si="8"/>
        <v>2.0240987799637909E-5</v>
      </c>
      <c r="N40" s="248">
        <f t="shared" si="9"/>
        <v>2.2683539180464151E-5</v>
      </c>
      <c r="O40" s="248">
        <f t="shared" si="10"/>
        <v>1.3026940698060714E-5</v>
      </c>
      <c r="P40" s="248">
        <f t="shared" si="11"/>
        <v>-2.3582928254797157E-4</v>
      </c>
      <c r="Q40" s="248">
        <f t="shared" si="12"/>
        <v>-1.7118687623570984E-4</v>
      </c>
      <c r="R40" s="248">
        <f t="shared" si="13"/>
        <v>-1.9871764916435303E-4</v>
      </c>
    </row>
    <row r="41" spans="1:18" x14ac:dyDescent="0.3">
      <c r="A41" t="s">
        <v>1027</v>
      </c>
      <c r="B41" t="s">
        <v>404</v>
      </c>
      <c r="C41" s="10">
        <v>1.3933671E-6</v>
      </c>
      <c r="D41" s="10">
        <v>1.3934050999999999E-6</v>
      </c>
      <c r="E41" s="10">
        <v>1.3934067E-6</v>
      </c>
      <c r="F41" s="10">
        <v>1.3933917E-6</v>
      </c>
      <c r="G41" s="10">
        <v>1.3930067E-6</v>
      </c>
      <c r="H41" s="10">
        <v>1.3931164E-6</v>
      </c>
      <c r="I41" s="10">
        <v>1.3930736999999999E-6</v>
      </c>
      <c r="J41" s="10">
        <v>1.3933687E-6</v>
      </c>
      <c r="L41" s="248">
        <f t="shared" si="14"/>
        <v>-1.1482962119692494E-6</v>
      </c>
      <c r="M41" s="248">
        <f t="shared" si="8"/>
        <v>2.6123738820818662E-5</v>
      </c>
      <c r="N41" s="248">
        <f t="shared" si="9"/>
        <v>2.7272035032787912E-5</v>
      </c>
      <c r="O41" s="248">
        <f t="shared" si="10"/>
        <v>1.6506758046165103E-5</v>
      </c>
      <c r="P41" s="248">
        <f t="shared" si="11"/>
        <v>-2.598020179440229E-4</v>
      </c>
      <c r="Q41" s="248">
        <f t="shared" si="12"/>
        <v>-1.8107195891510809E-4</v>
      </c>
      <c r="R41" s="248">
        <f t="shared" si="13"/>
        <v>-2.1171711407045118E-4</v>
      </c>
    </row>
    <row r="42" spans="1:18" x14ac:dyDescent="0.3">
      <c r="A42" t="s">
        <v>1028</v>
      </c>
      <c r="B42" t="s">
        <v>404</v>
      </c>
      <c r="C42" s="10">
        <v>2.1886606E-8</v>
      </c>
      <c r="D42" s="10">
        <v>2.1887715999999999E-8</v>
      </c>
      <c r="E42" s="10">
        <v>2.1888335000000001E-8</v>
      </c>
      <c r="F42" s="10">
        <v>2.1887534000000001E-8</v>
      </c>
      <c r="G42" s="10">
        <v>2.1879212999999999E-8</v>
      </c>
      <c r="H42" s="10">
        <v>2.1882374E-8</v>
      </c>
      <c r="I42" s="10">
        <v>2.1880092000000001E-8</v>
      </c>
      <c r="J42" s="10">
        <v>2.1887225000000002E-8</v>
      </c>
      <c r="L42" s="248">
        <f t="shared" si="14"/>
        <v>-2.8281337629695163E-5</v>
      </c>
      <c r="M42" s="248">
        <f t="shared" si="8"/>
        <v>2.2433177344213256E-5</v>
      </c>
      <c r="N42" s="248">
        <f t="shared" si="9"/>
        <v>5.0714514973908422E-5</v>
      </c>
      <c r="O42" s="248">
        <f t="shared" si="10"/>
        <v>1.4117824438650338E-5</v>
      </c>
      <c r="P42" s="248">
        <f t="shared" si="11"/>
        <v>-3.6605828285691633E-4</v>
      </c>
      <c r="Q42" s="248">
        <f t="shared" si="12"/>
        <v>-2.2163613706174199E-4</v>
      </c>
      <c r="R42" s="248">
        <f t="shared" si="13"/>
        <v>-3.2589786964773757E-4</v>
      </c>
    </row>
    <row r="43" spans="1:18" x14ac:dyDescent="0.3">
      <c r="A43" t="s">
        <v>1029</v>
      </c>
      <c r="B43" t="s">
        <v>405</v>
      </c>
      <c r="C43" s="10">
        <v>0.48630182</v>
      </c>
      <c r="D43" s="10">
        <v>0.4863229</v>
      </c>
      <c r="E43" s="10">
        <v>0.48632410999999998</v>
      </c>
      <c r="F43" s="10">
        <v>0.48631341</v>
      </c>
      <c r="G43" s="10">
        <v>0.48613872000000002</v>
      </c>
      <c r="H43" s="10">
        <v>0.48619878</v>
      </c>
      <c r="I43" s="10">
        <v>0.4861683</v>
      </c>
      <c r="J43" s="10">
        <v>0.48630303000000003</v>
      </c>
      <c r="L43" s="248">
        <f t="shared" si="14"/>
        <v>-2.4881605200552487E-6</v>
      </c>
      <c r="M43" s="248">
        <f t="shared" si="8"/>
        <v>4.0859297134088191E-5</v>
      </c>
      <c r="N43" s="248">
        <f t="shared" si="9"/>
        <v>4.3347457654029294E-5</v>
      </c>
      <c r="O43" s="248">
        <f t="shared" si="10"/>
        <v>2.1344715865694933E-5</v>
      </c>
      <c r="P43" s="248">
        <f t="shared" si="11"/>
        <v>-3.3787574796727223E-4</v>
      </c>
      <c r="Q43" s="248">
        <f t="shared" si="12"/>
        <v>-2.1437250761120678E-4</v>
      </c>
      <c r="R43" s="248">
        <f t="shared" si="13"/>
        <v>-2.7704947674298333E-4</v>
      </c>
    </row>
    <row r="44" spans="1:18" x14ac:dyDescent="0.3">
      <c r="A44" t="s">
        <v>1030</v>
      </c>
      <c r="B44" t="s">
        <v>406</v>
      </c>
      <c r="C44" s="10">
        <v>1.1569428000000001E-3</v>
      </c>
      <c r="D44" s="10">
        <v>1.1571518E-3</v>
      </c>
      <c r="E44" s="10">
        <v>1.1571626E-3</v>
      </c>
      <c r="F44" s="10">
        <v>1.1570923000000001E-3</v>
      </c>
      <c r="G44" s="10">
        <v>1.1558384999999999E-3</v>
      </c>
      <c r="H44" s="10">
        <v>1.1564341000000001E-3</v>
      </c>
      <c r="I44" s="10">
        <v>1.1562338000000001E-3</v>
      </c>
      <c r="J44" s="10">
        <v>1.1569535E-3</v>
      </c>
      <c r="L44" s="248">
        <f t="shared" si="14"/>
        <v>-9.2484270110790757E-6</v>
      </c>
      <c r="M44" s="248">
        <f t="shared" si="8"/>
        <v>1.71398418346085E-4</v>
      </c>
      <c r="N44" s="248">
        <f t="shared" si="9"/>
        <v>1.8073327925449367E-4</v>
      </c>
      <c r="O44" s="248">
        <f t="shared" si="10"/>
        <v>1.1997024945260151E-4</v>
      </c>
      <c r="P44" s="248">
        <f t="shared" si="11"/>
        <v>-9.6373795489628606E-4</v>
      </c>
      <c r="Q44" s="248">
        <f t="shared" si="12"/>
        <v>-4.4893766257672396E-4</v>
      </c>
      <c r="R44" s="248">
        <f t="shared" si="13"/>
        <v>-6.2206475886883829E-4</v>
      </c>
    </row>
    <row r="45" spans="1:18" x14ac:dyDescent="0.3">
      <c r="A45" t="s">
        <v>1031</v>
      </c>
      <c r="B45" t="s">
        <v>407</v>
      </c>
      <c r="C45" s="10">
        <v>2.1679789000000001E-2</v>
      </c>
      <c r="D45" s="10">
        <v>2.1683177000000001E-2</v>
      </c>
      <c r="E45" s="10">
        <v>2.1683582E-2</v>
      </c>
      <c r="F45" s="10">
        <v>2.1682726999999999E-2</v>
      </c>
      <c r="G45" s="10">
        <v>2.1662537999999999E-2</v>
      </c>
      <c r="H45" s="10">
        <v>2.1672191E-2</v>
      </c>
      <c r="I45" s="10">
        <v>2.1669755999999998E-2</v>
      </c>
      <c r="J45" s="10">
        <v>2.1680194E-2</v>
      </c>
      <c r="L45" s="248">
        <f t="shared" si="14"/>
        <v>-1.8680644647297075E-5</v>
      </c>
      <c r="M45" s="248">
        <f t="shared" si="8"/>
        <v>1.3759101971142602E-4</v>
      </c>
      <c r="N45" s="248">
        <f t="shared" si="9"/>
        <v>1.562716643587231E-4</v>
      </c>
      <c r="O45" s="248">
        <f t="shared" si="10"/>
        <v>1.1683474788090034E-4</v>
      </c>
      <c r="P45" s="248">
        <f t="shared" si="11"/>
        <v>-8.1438385652828147E-4</v>
      </c>
      <c r="Q45" s="248">
        <f t="shared" si="12"/>
        <v>-3.6913876324167036E-4</v>
      </c>
      <c r="R45" s="248">
        <f t="shared" si="13"/>
        <v>-4.8145325636853167E-4</v>
      </c>
    </row>
    <row r="46" spans="1:18" x14ac:dyDescent="0.3">
      <c r="A46" t="s">
        <v>1032</v>
      </c>
      <c r="B46" t="s">
        <v>408</v>
      </c>
      <c r="C46" s="10">
        <v>0.29548408999999998</v>
      </c>
      <c r="D46" s="10">
        <v>0.29552289999999998</v>
      </c>
      <c r="E46" s="10">
        <v>0.29552749</v>
      </c>
      <c r="F46" s="10">
        <v>0.29551570999999999</v>
      </c>
      <c r="G46" s="10">
        <v>0.29531343999999998</v>
      </c>
      <c r="H46" s="10">
        <v>0.29542401000000001</v>
      </c>
      <c r="I46" s="10">
        <v>0.29539043999999998</v>
      </c>
      <c r="J46" s="10">
        <v>0.29548868</v>
      </c>
      <c r="L46" s="248">
        <f t="shared" si="14"/>
        <v>-1.5533589983976772E-5</v>
      </c>
      <c r="M46" s="248">
        <f t="shared" si="8"/>
        <v>1.1580815887760477E-4</v>
      </c>
      <c r="N46" s="248">
        <f t="shared" si="9"/>
        <v>1.3134174886158154E-4</v>
      </c>
      <c r="O46" s="248">
        <f t="shared" si="10"/>
        <v>9.1475585460612079E-5</v>
      </c>
      <c r="P46" s="248">
        <f t="shared" si="11"/>
        <v>-5.9305148339361402E-4</v>
      </c>
      <c r="Q46" s="248">
        <f t="shared" si="12"/>
        <v>-2.188577917772989E-4</v>
      </c>
      <c r="R46" s="248">
        <f t="shared" si="13"/>
        <v>-3.3246620479683754E-4</v>
      </c>
    </row>
    <row r="47" spans="1:18" x14ac:dyDescent="0.3">
      <c r="A47" t="s">
        <v>1033</v>
      </c>
      <c r="B47" t="s">
        <v>409</v>
      </c>
      <c r="C47" s="10">
        <v>1640.5968</v>
      </c>
      <c r="D47" s="10">
        <v>1640.6714999999999</v>
      </c>
      <c r="E47" s="10">
        <v>1640.6786</v>
      </c>
      <c r="F47" s="10">
        <v>1640.6301000000001</v>
      </c>
      <c r="G47" s="10">
        <v>1640.2932000000001</v>
      </c>
      <c r="H47" s="10">
        <v>1640.5059000000001</v>
      </c>
      <c r="I47" s="10">
        <v>1640.3678</v>
      </c>
      <c r="J47" s="10">
        <v>1640.604</v>
      </c>
      <c r="L47" s="248">
        <f t="shared" si="14"/>
        <v>-4.3886276030118424E-6</v>
      </c>
      <c r="M47" s="248">
        <f t="shared" si="8"/>
        <v>4.1143383778097432E-5</v>
      </c>
      <c r="N47" s="248">
        <f t="shared" si="9"/>
        <v>4.5471058219971737E-5</v>
      </c>
      <c r="O47" s="248">
        <f t="shared" si="10"/>
        <v>1.5908775060917929E-5</v>
      </c>
      <c r="P47" s="248">
        <f t="shared" si="11"/>
        <v>-1.8944242486302115E-4</v>
      </c>
      <c r="Q47" s="248">
        <f t="shared" si="12"/>
        <v>-5.9795051090897767E-5</v>
      </c>
      <c r="R47" s="248">
        <f t="shared" si="13"/>
        <v>-1.4397136664304942E-4</v>
      </c>
    </row>
    <row r="48" spans="1:18" x14ac:dyDescent="0.3">
      <c r="A48" t="s">
        <v>410</v>
      </c>
      <c r="B48" t="s">
        <v>411</v>
      </c>
      <c r="C48" s="10">
        <v>56.577582</v>
      </c>
      <c r="D48" s="10">
        <v>56.580472</v>
      </c>
      <c r="E48" s="10">
        <v>56.581614000000002</v>
      </c>
      <c r="F48" s="10">
        <v>56.589182999999998</v>
      </c>
      <c r="G48" s="10">
        <v>56.643791999999998</v>
      </c>
      <c r="H48" s="10">
        <v>56.652025000000002</v>
      </c>
      <c r="I48" s="10">
        <v>56.673586999999998</v>
      </c>
      <c r="J48" s="10">
        <v>56.578724000000001</v>
      </c>
      <c r="L48" s="248">
        <f t="shared" si="14"/>
        <v>-2.0184265732142184E-5</v>
      </c>
      <c r="M48" s="248">
        <f t="shared" si="8"/>
        <v>3.0895005691524517E-5</v>
      </c>
      <c r="N48" s="248">
        <f t="shared" si="9"/>
        <v>5.1079271423666701E-5</v>
      </c>
      <c r="O48" s="248">
        <f t="shared" si="10"/>
        <v>1.8485747398611061E-4</v>
      </c>
      <c r="P48" s="248">
        <f t="shared" si="11"/>
        <v>1.150043610032573E-3</v>
      </c>
      <c r="Q48" s="248">
        <f t="shared" si="12"/>
        <v>1.2955576728807233E-3</v>
      </c>
      <c r="R48" s="248">
        <f t="shared" si="13"/>
        <v>1.676654991370901E-3</v>
      </c>
    </row>
    <row r="49" spans="1:18" x14ac:dyDescent="0.3">
      <c r="A49" t="s">
        <v>1034</v>
      </c>
      <c r="B49" t="s">
        <v>412</v>
      </c>
      <c r="C49" s="10">
        <v>4.7378505999999998</v>
      </c>
      <c r="D49" s="10">
        <v>4.7353198000000001</v>
      </c>
      <c r="E49" s="10">
        <v>4.736002</v>
      </c>
      <c r="F49" s="10">
        <v>4.7412649</v>
      </c>
      <c r="G49" s="10">
        <v>4.7315180999999997</v>
      </c>
      <c r="H49" s="10">
        <v>4.7243078000000001</v>
      </c>
      <c r="I49" s="10">
        <v>4.7393020000000003</v>
      </c>
      <c r="J49" s="10">
        <v>4.7385327000000004</v>
      </c>
      <c r="L49" s="248">
        <f t="shared" si="14"/>
        <v>-1.4394751354160199E-4</v>
      </c>
      <c r="M49" s="248">
        <f t="shared" si="8"/>
        <v>-6.780368952609097E-4</v>
      </c>
      <c r="N49" s="248">
        <f t="shared" si="9"/>
        <v>-5.3406827814026262E-4</v>
      </c>
      <c r="O49" s="248">
        <f t="shared" si="10"/>
        <v>5.7659199017443289E-4</v>
      </c>
      <c r="P49" s="248">
        <f t="shared" si="11"/>
        <v>-1.4803316646945684E-3</v>
      </c>
      <c r="Q49" s="248">
        <f t="shared" si="12"/>
        <v>-3.0019630338311933E-3</v>
      </c>
      <c r="R49" s="248">
        <f t="shared" si="13"/>
        <v>1.6234983458064407E-4</v>
      </c>
    </row>
    <row r="50" spans="1:18" x14ac:dyDescent="0.3">
      <c r="A50" t="s">
        <v>1035</v>
      </c>
      <c r="B50" t="s">
        <v>21</v>
      </c>
      <c r="C50" s="10">
        <v>161.80921000000001</v>
      </c>
      <c r="D50" s="10">
        <v>161.88901999999999</v>
      </c>
      <c r="E50" s="10">
        <v>161.88227000000001</v>
      </c>
      <c r="F50" s="10">
        <v>161.8313</v>
      </c>
      <c r="G50" s="10">
        <v>161.76621</v>
      </c>
      <c r="H50" s="10">
        <v>161.99359000000001</v>
      </c>
      <c r="I50" s="10">
        <v>161.84837999999999</v>
      </c>
      <c r="J50" s="10">
        <v>161.80246</v>
      </c>
      <c r="L50" s="248">
        <f t="shared" si="14"/>
        <v>4.1717536309465961E-5</v>
      </c>
      <c r="M50" s="248">
        <f t="shared" si="8"/>
        <v>5.3497332488017506E-4</v>
      </c>
      <c r="N50" s="248">
        <f t="shared" si="9"/>
        <v>4.9325578857088476E-4</v>
      </c>
      <c r="O50" s="248">
        <f t="shared" si="10"/>
        <v>1.7824203661676355E-4</v>
      </c>
      <c r="P50" s="248">
        <f t="shared" si="11"/>
        <v>-2.2403862092081574E-4</v>
      </c>
      <c r="Q50" s="248">
        <f t="shared" si="12"/>
        <v>1.1812552170097745E-3</v>
      </c>
      <c r="R50" s="248">
        <f t="shared" si="13"/>
        <v>2.8380285441887164E-4</v>
      </c>
    </row>
    <row r="51" spans="1:18" x14ac:dyDescent="0.3">
      <c r="A51" t="s">
        <v>1036</v>
      </c>
      <c r="B51" t="s">
        <v>413</v>
      </c>
      <c r="C51" s="10">
        <v>1.1213998E-3</v>
      </c>
      <c r="D51" s="10">
        <v>1.1214224000000001E-3</v>
      </c>
      <c r="E51" s="10">
        <v>1.1214237000000001E-3</v>
      </c>
      <c r="F51" s="10">
        <v>1.1214163E-3</v>
      </c>
      <c r="G51" s="10">
        <v>1.1194740999999999E-3</v>
      </c>
      <c r="H51" s="10">
        <v>1.1195385E-3</v>
      </c>
      <c r="I51" s="10">
        <v>1.1195174999999999E-3</v>
      </c>
      <c r="J51" s="10">
        <v>1.121401E-3</v>
      </c>
      <c r="L51" s="248">
        <f t="shared" si="14"/>
        <v>-1.0700900034648858E-6</v>
      </c>
      <c r="M51" s="248">
        <f t="shared" si="8"/>
        <v>1.9083271728972768E-5</v>
      </c>
      <c r="N51" s="248">
        <f t="shared" si="9"/>
        <v>2.024253589942529E-5</v>
      </c>
      <c r="O51" s="248">
        <f t="shared" si="10"/>
        <v>1.364364754446734E-5</v>
      </c>
      <c r="P51" s="248">
        <f t="shared" si="11"/>
        <v>-1.7182970230988359E-3</v>
      </c>
      <c r="Q51" s="248">
        <f t="shared" si="12"/>
        <v>-1.6608688595783291E-3</v>
      </c>
      <c r="R51" s="248">
        <f t="shared" si="13"/>
        <v>-1.6795954346393515E-3</v>
      </c>
    </row>
    <row r="55" spans="1:18" s="240" customFormat="1" x14ac:dyDescent="0.3">
      <c r="A55" s="241" t="s">
        <v>724</v>
      </c>
      <c r="B55" s="241"/>
      <c r="C55" s="241"/>
      <c r="D55" s="241"/>
      <c r="E55" s="241"/>
      <c r="F55" s="241"/>
      <c r="G55" s="241"/>
      <c r="H55" s="241"/>
      <c r="I55" s="241"/>
      <c r="J55" s="241"/>
    </row>
    <row r="56" spans="1:18" ht="43.2" x14ac:dyDescent="0.3">
      <c r="A56" s="183" t="s">
        <v>395</v>
      </c>
      <c r="B56" s="183" t="s">
        <v>396</v>
      </c>
      <c r="C56" s="246" t="s">
        <v>715</v>
      </c>
      <c r="D56" s="246" t="s">
        <v>716</v>
      </c>
      <c r="E56" s="246" t="s">
        <v>718</v>
      </c>
      <c r="F56" s="246" t="s">
        <v>671</v>
      </c>
      <c r="G56" s="246" t="s">
        <v>720</v>
      </c>
      <c r="H56" s="246" t="s">
        <v>719</v>
      </c>
      <c r="I56" s="246" t="s">
        <v>672</v>
      </c>
      <c r="J56" s="246" t="s">
        <v>717</v>
      </c>
      <c r="L56" s="246" t="s">
        <v>715</v>
      </c>
      <c r="M56" s="246" t="s">
        <v>716</v>
      </c>
      <c r="N56" s="246" t="s">
        <v>718</v>
      </c>
      <c r="O56" s="246" t="s">
        <v>671</v>
      </c>
      <c r="P56" s="246" t="s">
        <v>720</v>
      </c>
      <c r="Q56" s="246" t="s">
        <v>719</v>
      </c>
      <c r="R56" s="246" t="s">
        <v>672</v>
      </c>
    </row>
    <row r="57" spans="1:18" x14ac:dyDescent="0.3">
      <c r="A57" t="s">
        <v>397</v>
      </c>
      <c r="B57" t="s">
        <v>398</v>
      </c>
      <c r="C57" s="10">
        <v>16.237719999999999</v>
      </c>
      <c r="D57" s="10">
        <v>16.241018</v>
      </c>
      <c r="E57" s="10">
        <v>16.120314</v>
      </c>
      <c r="F57" s="10">
        <v>16.118178</v>
      </c>
      <c r="G57" s="10">
        <v>16.087695</v>
      </c>
      <c r="H57" s="10">
        <v>16.097092</v>
      </c>
      <c r="I57" s="10">
        <v>16.091007999999999</v>
      </c>
      <c r="J57" s="10">
        <v>16.237819999999999</v>
      </c>
      <c r="L57" s="248">
        <f>(C57-$J57)/$J57</f>
        <v>-6.1584621580832249E-6</v>
      </c>
      <c r="M57" s="248">
        <f t="shared" ref="M57:M72" si="15">(D57-$J57)/$J57</f>
        <v>1.9694761981603099E-4</v>
      </c>
      <c r="N57" s="248">
        <f t="shared" ref="N57:N72" si="16">(E57-$J57)/$J57</f>
        <v>-7.2365625434940642E-3</v>
      </c>
      <c r="O57" s="248">
        <f t="shared" ref="O57:O72" si="17">(F57-$J57)/$J57</f>
        <v>-7.368107295191037E-3</v>
      </c>
      <c r="P57" s="248">
        <f t="shared" ref="P57:P72" si="18">(G57-$J57)/$J57</f>
        <v>-9.2453913148439378E-3</v>
      </c>
      <c r="Q57" s="248">
        <f t="shared" ref="Q57:Q72" si="19">(H57-$J57)/$J57</f>
        <v>-8.6666806258475157E-3</v>
      </c>
      <c r="R57" s="248">
        <f t="shared" ref="R57:R72" si="20">(I57-$J57)/$J57</f>
        <v>-9.041361463546253E-3</v>
      </c>
    </row>
    <row r="58" spans="1:18" x14ac:dyDescent="0.3">
      <c r="A58" t="s">
        <v>399</v>
      </c>
      <c r="B58" t="s">
        <v>400</v>
      </c>
      <c r="C58" s="10">
        <v>1.2523430999999999E-6</v>
      </c>
      <c r="D58" s="10">
        <v>1.2527402E-6</v>
      </c>
      <c r="E58" s="10">
        <v>1.2361311000000001E-6</v>
      </c>
      <c r="F58" s="10">
        <v>1.2358025000000001E-6</v>
      </c>
      <c r="G58" s="10">
        <v>1.2332659000000001E-6</v>
      </c>
      <c r="H58" s="10">
        <v>1.2343972E-6</v>
      </c>
      <c r="I58" s="10">
        <v>1.2334609E-6</v>
      </c>
      <c r="J58" s="10">
        <v>1.2524025E-6</v>
      </c>
      <c r="L58" s="248">
        <f t="shared" ref="L58:L72" si="21">(C58-$J58)/$J58</f>
        <v>-4.7428841766217332E-5</v>
      </c>
      <c r="M58" s="248">
        <f t="shared" si="15"/>
        <v>2.6964174855925569E-4</v>
      </c>
      <c r="N58" s="248">
        <f t="shared" si="16"/>
        <v>-1.2992149089450051E-2</v>
      </c>
      <c r="O58" s="248">
        <f t="shared" si="17"/>
        <v>-1.3254524803327984E-2</v>
      </c>
      <c r="P58" s="248">
        <f t="shared" si="18"/>
        <v>-1.5279912009118431E-2</v>
      </c>
      <c r="Q58" s="248">
        <f t="shared" si="19"/>
        <v>-1.4376608159118204E-2</v>
      </c>
      <c r="R58" s="248">
        <f t="shared" si="20"/>
        <v>-1.5124211265946905E-2</v>
      </c>
    </row>
    <row r="59" spans="1:18" x14ac:dyDescent="0.3">
      <c r="A59" t="s">
        <v>1024</v>
      </c>
      <c r="B59" t="s">
        <v>401</v>
      </c>
      <c r="C59" s="10">
        <v>0.41197730999999999</v>
      </c>
      <c r="D59" s="10">
        <v>0.41219843</v>
      </c>
      <c r="E59" s="10">
        <v>0.40664496</v>
      </c>
      <c r="F59" s="10">
        <v>0.40654984</v>
      </c>
      <c r="G59" s="10">
        <v>0.40527655000000001</v>
      </c>
      <c r="H59" s="10">
        <v>0.40590652999999999</v>
      </c>
      <c r="I59" s="10">
        <v>0.40563555000000001</v>
      </c>
      <c r="J59" s="10">
        <v>0.41200434000000002</v>
      </c>
      <c r="L59" s="248">
        <f t="shared" si="21"/>
        <v>-6.5606105023163026E-5</v>
      </c>
      <c r="M59" s="248">
        <f t="shared" si="15"/>
        <v>4.710872705854994E-4</v>
      </c>
      <c r="N59" s="248">
        <f t="shared" si="16"/>
        <v>-1.3008066856771519E-2</v>
      </c>
      <c r="O59" s="248">
        <f t="shared" si="17"/>
        <v>-1.3238938211184931E-2</v>
      </c>
      <c r="P59" s="248">
        <f t="shared" si="18"/>
        <v>-1.6329415364896425E-2</v>
      </c>
      <c r="Q59" s="248">
        <f t="shared" si="19"/>
        <v>-1.4800353802098386E-2</v>
      </c>
      <c r="R59" s="248">
        <f t="shared" si="20"/>
        <v>-1.5458065320379908E-2</v>
      </c>
    </row>
    <row r="60" spans="1:18" x14ac:dyDescent="0.3">
      <c r="A60" t="s">
        <v>1025</v>
      </c>
      <c r="B60" t="s">
        <v>402</v>
      </c>
      <c r="C60" s="10">
        <v>8.9287441999999995E-2</v>
      </c>
      <c r="D60" s="10">
        <v>8.9296487999999993E-2</v>
      </c>
      <c r="E60" s="10">
        <v>8.8541957000000004E-2</v>
      </c>
      <c r="F60" s="10">
        <v>8.8547039999999994E-2</v>
      </c>
      <c r="G60" s="10">
        <v>8.8455708999999993E-2</v>
      </c>
      <c r="H60" s="10">
        <v>8.8510570999999996E-2</v>
      </c>
      <c r="I60" s="10">
        <v>8.8525052000000007E-2</v>
      </c>
      <c r="J60" s="10">
        <v>8.9289588000000003E-2</v>
      </c>
      <c r="L60" s="248">
        <f t="shared" si="21"/>
        <v>-2.403415726376091E-5</v>
      </c>
      <c r="M60" s="248">
        <f t="shared" si="15"/>
        <v>7.7276647306181404E-5</v>
      </c>
      <c r="N60" s="248">
        <f t="shared" si="16"/>
        <v>-8.3731039278622122E-3</v>
      </c>
      <c r="O60" s="248">
        <f t="shared" si="17"/>
        <v>-8.3161767976800329E-3</v>
      </c>
      <c r="P60" s="248">
        <f t="shared" si="18"/>
        <v>-9.3390396201627618E-3</v>
      </c>
      <c r="Q60" s="248">
        <f t="shared" si="19"/>
        <v>-8.7246118774790046E-3</v>
      </c>
      <c r="R60" s="248">
        <f t="shared" si="20"/>
        <v>-8.5624317137625965E-3</v>
      </c>
    </row>
    <row r="61" spans="1:18" x14ac:dyDescent="0.3">
      <c r="A61" t="s">
        <v>1026</v>
      </c>
      <c r="B61" t="s">
        <v>403</v>
      </c>
      <c r="C61" s="10">
        <v>4.2277319000000003E-6</v>
      </c>
      <c r="D61" s="10">
        <v>4.2278188E-6</v>
      </c>
      <c r="E61" s="10">
        <v>4.2128445999999997E-6</v>
      </c>
      <c r="F61" s="10">
        <v>4.2128076000000002E-6</v>
      </c>
      <c r="G61" s="10">
        <v>4.2118534999999997E-6</v>
      </c>
      <c r="H61" s="10">
        <v>4.2121012999999999E-6</v>
      </c>
      <c r="I61" s="10">
        <v>4.2119957999999997E-6</v>
      </c>
      <c r="J61" s="10">
        <v>4.2277412999999997E-6</v>
      </c>
      <c r="L61" s="248">
        <f t="shared" si="21"/>
        <v>-2.2234094596493146E-6</v>
      </c>
      <c r="M61" s="248">
        <f t="shared" si="15"/>
        <v>1.8331301397353558E-5</v>
      </c>
      <c r="N61" s="248">
        <f t="shared" si="16"/>
        <v>-3.5235599680614208E-3</v>
      </c>
      <c r="O61" s="248">
        <f t="shared" si="17"/>
        <v>-3.5323116861477517E-3</v>
      </c>
      <c r="P61" s="248">
        <f t="shared" si="18"/>
        <v>-3.7579877463173842E-3</v>
      </c>
      <c r="Q61" s="248">
        <f t="shared" si="19"/>
        <v>-3.6993748884303155E-3</v>
      </c>
      <c r="R61" s="248">
        <f t="shared" si="20"/>
        <v>-3.7243291116227954E-3</v>
      </c>
    </row>
    <row r="62" spans="1:18" x14ac:dyDescent="0.3">
      <c r="A62" t="s">
        <v>1027</v>
      </c>
      <c r="B62" t="s">
        <v>404</v>
      </c>
      <c r="C62" s="10">
        <v>1.2807816E-6</v>
      </c>
      <c r="D62" s="10">
        <v>1.2808092E-6</v>
      </c>
      <c r="E62" s="10">
        <v>1.2779099999999999E-6</v>
      </c>
      <c r="F62" s="10">
        <v>1.2778991999999999E-6</v>
      </c>
      <c r="G62" s="10">
        <v>1.2776196999999999E-6</v>
      </c>
      <c r="H62" s="10">
        <v>1.2776993000000001E-6</v>
      </c>
      <c r="I62" s="10">
        <v>1.2776683000000001E-6</v>
      </c>
      <c r="J62" s="10">
        <v>1.2807828E-6</v>
      </c>
      <c r="L62" s="248">
        <f t="shared" si="21"/>
        <v>-9.3692701050175682E-7</v>
      </c>
      <c r="M62" s="248">
        <f t="shared" si="15"/>
        <v>2.0612394232692002E-5</v>
      </c>
      <c r="N62" s="248">
        <f t="shared" si="16"/>
        <v>-2.2430032633167915E-3</v>
      </c>
      <c r="O62" s="248">
        <f t="shared" si="17"/>
        <v>-2.2514356064119688E-3</v>
      </c>
      <c r="P62" s="248">
        <f t="shared" si="18"/>
        <v>-2.469661522625074E-3</v>
      </c>
      <c r="Q62" s="248">
        <f t="shared" si="19"/>
        <v>-2.4075120309234974E-3</v>
      </c>
      <c r="R62" s="248">
        <f t="shared" si="20"/>
        <v>-2.4317159786966941E-3</v>
      </c>
    </row>
    <row r="63" spans="1:18" x14ac:dyDescent="0.3">
      <c r="A63" t="s">
        <v>1028</v>
      </c>
      <c r="B63" t="s">
        <v>404</v>
      </c>
      <c r="C63" s="10">
        <v>2.4097843999999998E-8</v>
      </c>
      <c r="D63" s="10">
        <v>2.4098650000000001E-8</v>
      </c>
      <c r="E63" s="10">
        <v>2.3884284999999999E-8</v>
      </c>
      <c r="F63" s="10">
        <v>2.3883702999999999E-8</v>
      </c>
      <c r="G63" s="10">
        <v>2.3877662999999999E-8</v>
      </c>
      <c r="H63" s="10">
        <v>2.3879957999999999E-8</v>
      </c>
      <c r="I63" s="10">
        <v>2.3878301E-8</v>
      </c>
      <c r="J63" s="10">
        <v>2.4098294E-8</v>
      </c>
      <c r="L63" s="248">
        <f t="shared" si="21"/>
        <v>-1.8673521038508866E-5</v>
      </c>
      <c r="M63" s="248">
        <f t="shared" si="15"/>
        <v>1.4772829977133901E-5</v>
      </c>
      <c r="N63" s="248">
        <f t="shared" si="16"/>
        <v>-8.8806701420441076E-3</v>
      </c>
      <c r="O63" s="248">
        <f t="shared" si="17"/>
        <v>-8.904821229253861E-3</v>
      </c>
      <c r="P63" s="248">
        <f t="shared" si="18"/>
        <v>-9.1554613783034026E-3</v>
      </c>
      <c r="Q63" s="248">
        <f t="shared" si="19"/>
        <v>-9.0602264210072406E-3</v>
      </c>
      <c r="R63" s="248">
        <f t="shared" si="20"/>
        <v>-9.1289864751421448E-3</v>
      </c>
    </row>
    <row r="64" spans="1:18" x14ac:dyDescent="0.3">
      <c r="A64" t="s">
        <v>1029</v>
      </c>
      <c r="B64" t="s">
        <v>405</v>
      </c>
      <c r="C64" s="10">
        <v>0.40241121000000002</v>
      </c>
      <c r="D64" s="10">
        <v>0.40242651000000002</v>
      </c>
      <c r="E64" s="10">
        <v>0.40123888000000002</v>
      </c>
      <c r="F64" s="10">
        <v>0.40123111</v>
      </c>
      <c r="G64" s="10">
        <v>0.40110431000000002</v>
      </c>
      <c r="H64" s="10">
        <v>0.4011479</v>
      </c>
      <c r="I64" s="10">
        <v>0.40112576999999999</v>
      </c>
      <c r="J64" s="10">
        <v>0.40241209</v>
      </c>
      <c r="L64" s="248">
        <f t="shared" si="21"/>
        <v>-2.1868130253762903E-6</v>
      </c>
      <c r="M64" s="248">
        <f t="shared" si="15"/>
        <v>3.5833913439367528E-5</v>
      </c>
      <c r="N64" s="248">
        <f t="shared" si="16"/>
        <v>-2.9154442154061028E-3</v>
      </c>
      <c r="O64" s="248">
        <f t="shared" si="17"/>
        <v>-2.9347527804147191E-3</v>
      </c>
      <c r="P64" s="248">
        <f t="shared" si="18"/>
        <v>-3.249852657259827E-3</v>
      </c>
      <c r="Q64" s="248">
        <f t="shared" si="19"/>
        <v>-3.1415308620573461E-3</v>
      </c>
      <c r="R64" s="248">
        <f t="shared" si="20"/>
        <v>-3.196524239617173E-3</v>
      </c>
    </row>
    <row r="65" spans="1:18" x14ac:dyDescent="0.3">
      <c r="A65" t="s">
        <v>1030</v>
      </c>
      <c r="B65" t="s">
        <v>406</v>
      </c>
      <c r="C65" s="10">
        <v>1.5003992E-3</v>
      </c>
      <c r="D65" s="10">
        <v>1.5005509000000001E-3</v>
      </c>
      <c r="E65" s="10">
        <v>1.4972221999999999E-3</v>
      </c>
      <c r="F65" s="10">
        <v>1.4971711000000001E-3</v>
      </c>
      <c r="G65" s="10">
        <v>1.496261E-3</v>
      </c>
      <c r="H65" s="10">
        <v>1.4966934E-3</v>
      </c>
      <c r="I65" s="10">
        <v>1.4965479000000001E-3</v>
      </c>
      <c r="J65" s="10">
        <v>1.500407E-3</v>
      </c>
      <c r="L65" s="248">
        <f t="shared" si="21"/>
        <v>-5.1985894494345608E-6</v>
      </c>
      <c r="M65" s="248">
        <f t="shared" si="15"/>
        <v>9.5907310483132113E-5</v>
      </c>
      <c r="N65" s="248">
        <f t="shared" si="16"/>
        <v>-2.1226240613380892E-3</v>
      </c>
      <c r="O65" s="248">
        <f t="shared" si="17"/>
        <v>-2.1566814870898096E-3</v>
      </c>
      <c r="P65" s="248">
        <f t="shared" si="18"/>
        <v>-2.763250238102069E-3</v>
      </c>
      <c r="Q65" s="248">
        <f t="shared" si="19"/>
        <v>-2.4750617665740106E-3</v>
      </c>
      <c r="R65" s="248">
        <f t="shared" si="20"/>
        <v>-2.5720354543800257E-3</v>
      </c>
    </row>
    <row r="66" spans="1:18" x14ac:dyDescent="0.3">
      <c r="A66" t="s">
        <v>1031</v>
      </c>
      <c r="B66" t="s">
        <v>407</v>
      </c>
      <c r="C66" s="10">
        <v>2.2903341000000001E-2</v>
      </c>
      <c r="D66" s="10">
        <v>2.29058E-2</v>
      </c>
      <c r="E66" s="10">
        <v>2.2704065999999998E-2</v>
      </c>
      <c r="F66" s="10">
        <v>2.2703445999999999E-2</v>
      </c>
      <c r="G66" s="10">
        <v>2.268879E-2</v>
      </c>
      <c r="H66" s="10">
        <v>2.2695797E-2</v>
      </c>
      <c r="I66" s="10">
        <v>2.269403E-2</v>
      </c>
      <c r="J66" s="10">
        <v>2.2903634999999999E-2</v>
      </c>
      <c r="L66" s="248">
        <f t="shared" si="21"/>
        <v>-1.2836390380736816E-5</v>
      </c>
      <c r="M66" s="248">
        <f t="shared" si="15"/>
        <v>9.4526480185432916E-5</v>
      </c>
      <c r="N66" s="248">
        <f t="shared" si="16"/>
        <v>-8.7134203806513745E-3</v>
      </c>
      <c r="O66" s="248">
        <f t="shared" si="17"/>
        <v>-8.7404903195497114E-3</v>
      </c>
      <c r="P66" s="248">
        <f t="shared" si="18"/>
        <v>-9.3803887461530993E-3</v>
      </c>
      <c r="Q66" s="248">
        <f t="shared" si="19"/>
        <v>-9.074454775410034E-3</v>
      </c>
      <c r="R66" s="248">
        <f t="shared" si="20"/>
        <v>-9.1516041012703071E-3</v>
      </c>
    </row>
    <row r="67" spans="1:18" x14ac:dyDescent="0.3">
      <c r="A67" t="s">
        <v>1032</v>
      </c>
      <c r="B67" t="s">
        <v>408</v>
      </c>
      <c r="C67" s="10">
        <v>0.30150691000000002</v>
      </c>
      <c r="D67" s="10">
        <v>0.30153508000000001</v>
      </c>
      <c r="E67" s="10">
        <v>0.29730572999999999</v>
      </c>
      <c r="F67" s="10">
        <v>0.29729717999999999</v>
      </c>
      <c r="G67" s="10">
        <v>0.29715035000000001</v>
      </c>
      <c r="H67" s="10">
        <v>0.29723061000000001</v>
      </c>
      <c r="I67" s="10">
        <v>0.29720625000000001</v>
      </c>
      <c r="J67" s="10">
        <v>0.30151023999999998</v>
      </c>
      <c r="L67" s="248">
        <f t="shared" si="21"/>
        <v>-1.1044401012609325E-5</v>
      </c>
      <c r="M67" s="248">
        <f t="shared" si="15"/>
        <v>8.2385261608448031E-5</v>
      </c>
      <c r="N67" s="248">
        <f t="shared" si="16"/>
        <v>-1.3944833183775101E-2</v>
      </c>
      <c r="O67" s="248">
        <f t="shared" si="17"/>
        <v>-1.3973190429618546E-2</v>
      </c>
      <c r="P67" s="248">
        <f t="shared" si="18"/>
        <v>-1.4460172231629605E-2</v>
      </c>
      <c r="Q67" s="248">
        <f t="shared" si="19"/>
        <v>-1.4193978950764588E-2</v>
      </c>
      <c r="R67" s="248">
        <f t="shared" si="20"/>
        <v>-1.4274772226641389E-2</v>
      </c>
    </row>
    <row r="68" spans="1:18" x14ac:dyDescent="0.3">
      <c r="A68" t="s">
        <v>1033</v>
      </c>
      <c r="B68" t="s">
        <v>409</v>
      </c>
      <c r="C68" s="10">
        <v>1630.5509999999999</v>
      </c>
      <c r="D68" s="10">
        <v>1630.6051</v>
      </c>
      <c r="E68" s="10">
        <v>1627.4436000000001</v>
      </c>
      <c r="F68" s="10">
        <v>1627.4084</v>
      </c>
      <c r="G68" s="10">
        <v>1627.1638</v>
      </c>
      <c r="H68" s="10">
        <v>1627.3181999999999</v>
      </c>
      <c r="I68" s="10">
        <v>1627.2180000000001</v>
      </c>
      <c r="J68" s="10">
        <v>1630.5561</v>
      </c>
      <c r="L68" s="248">
        <f t="shared" si="21"/>
        <v>-3.1277672691445802E-6</v>
      </c>
      <c r="M68" s="248">
        <f t="shared" si="15"/>
        <v>3.0051097291272695E-5</v>
      </c>
      <c r="N68" s="248">
        <f t="shared" si="16"/>
        <v>-1.9088579656964606E-3</v>
      </c>
      <c r="O68" s="248">
        <f t="shared" si="17"/>
        <v>-1.9304456927302202E-3</v>
      </c>
      <c r="P68" s="248">
        <f t="shared" si="18"/>
        <v>-2.0804558641067165E-3</v>
      </c>
      <c r="Q68" s="248">
        <f t="shared" si="19"/>
        <v>-1.985764243254238E-3</v>
      </c>
      <c r="R68" s="248">
        <f t="shared" si="20"/>
        <v>-2.0472156707763323E-3</v>
      </c>
    </row>
    <row r="69" spans="1:18" x14ac:dyDescent="0.3">
      <c r="A69" t="s">
        <v>410</v>
      </c>
      <c r="B69" t="s">
        <v>411</v>
      </c>
      <c r="C69" s="10">
        <v>88.792698000000001</v>
      </c>
      <c r="D69" s="10">
        <v>88.794796000000005</v>
      </c>
      <c r="E69" s="10">
        <v>76.826678000000001</v>
      </c>
      <c r="F69" s="10">
        <v>76.832172</v>
      </c>
      <c r="G69" s="10">
        <v>76.871814000000001</v>
      </c>
      <c r="H69" s="10">
        <v>76.877790000000005</v>
      </c>
      <c r="I69" s="10">
        <v>76.893441999999993</v>
      </c>
      <c r="J69" s="10">
        <v>88.793527999999995</v>
      </c>
      <c r="L69" s="248">
        <f t="shared" si="21"/>
        <v>-9.3475281215703815E-6</v>
      </c>
      <c r="M69" s="248">
        <f t="shared" si="15"/>
        <v>1.4280320070290044E-5</v>
      </c>
      <c r="N69" s="248">
        <f t="shared" si="16"/>
        <v>-0.13477164687047904</v>
      </c>
      <c r="O69" s="248">
        <f t="shared" si="17"/>
        <v>-0.13470977299156303</v>
      </c>
      <c r="P69" s="248">
        <f t="shared" si="18"/>
        <v>-0.1342633215339748</v>
      </c>
      <c r="Q69" s="248">
        <f t="shared" si="19"/>
        <v>-0.13419601933149891</v>
      </c>
      <c r="R69" s="248">
        <f t="shared" si="20"/>
        <v>-0.13401974522287258</v>
      </c>
    </row>
    <row r="70" spans="1:18" x14ac:dyDescent="0.3">
      <c r="A70" t="s">
        <v>1034</v>
      </c>
      <c r="B70" t="s">
        <v>412</v>
      </c>
      <c r="C70" s="10">
        <v>4.6627052999999998</v>
      </c>
      <c r="D70" s="10">
        <v>4.6608682000000003</v>
      </c>
      <c r="E70" s="10">
        <v>4.6300309000000004</v>
      </c>
      <c r="F70" s="10">
        <v>4.6338512999999999</v>
      </c>
      <c r="G70" s="10">
        <v>4.6267760000000004</v>
      </c>
      <c r="H70" s="10">
        <v>4.6215419999999998</v>
      </c>
      <c r="I70" s="10">
        <v>4.6324263999999999</v>
      </c>
      <c r="J70" s="10">
        <v>4.6632005000000003</v>
      </c>
      <c r="L70" s="248">
        <f t="shared" si="21"/>
        <v>-1.0619316068448547E-4</v>
      </c>
      <c r="M70" s="248">
        <f t="shared" si="15"/>
        <v>-5.0015005788405485E-4</v>
      </c>
      <c r="N70" s="248">
        <f t="shared" si="16"/>
        <v>-7.1130546499126313E-3</v>
      </c>
      <c r="O70" s="248">
        <f t="shared" si="17"/>
        <v>-6.2937889974922605E-3</v>
      </c>
      <c r="P70" s="248">
        <f t="shared" si="18"/>
        <v>-7.8110516586194093E-3</v>
      </c>
      <c r="Q70" s="248">
        <f t="shared" si="19"/>
        <v>-8.9334567535752502E-3</v>
      </c>
      <c r="R70" s="248">
        <f t="shared" si="20"/>
        <v>-6.5993516684518189E-3</v>
      </c>
    </row>
    <row r="71" spans="1:18" x14ac:dyDescent="0.3">
      <c r="A71" t="s">
        <v>1035</v>
      </c>
      <c r="B71" t="s">
        <v>21</v>
      </c>
      <c r="C71" s="10">
        <v>181.66116</v>
      </c>
      <c r="D71" s="10">
        <v>181.7191</v>
      </c>
      <c r="E71" s="10">
        <v>180.06506999999999</v>
      </c>
      <c r="F71" s="10">
        <v>180.02807000000001</v>
      </c>
      <c r="G71" s="10">
        <v>179.98081999999999</v>
      </c>
      <c r="H71" s="10">
        <v>180.14587</v>
      </c>
      <c r="I71" s="10">
        <v>180.04047</v>
      </c>
      <c r="J71" s="10">
        <v>181.65626</v>
      </c>
      <c r="L71" s="248">
        <f t="shared" si="21"/>
        <v>2.6974022254956327E-5</v>
      </c>
      <c r="M71" s="248">
        <f t="shared" si="15"/>
        <v>3.4592807316408602E-4</v>
      </c>
      <c r="N71" s="248">
        <f t="shared" si="16"/>
        <v>-8.759345810598609E-3</v>
      </c>
      <c r="O71" s="248">
        <f t="shared" si="17"/>
        <v>-8.9630272031362389E-3</v>
      </c>
      <c r="P71" s="248">
        <f t="shared" si="18"/>
        <v>-9.2231338463095568E-3</v>
      </c>
      <c r="Q71" s="248">
        <f t="shared" si="19"/>
        <v>-8.3145496885161079E-3</v>
      </c>
      <c r="R71" s="248">
        <f t="shared" si="20"/>
        <v>-8.8947664121236669E-3</v>
      </c>
    </row>
    <row r="72" spans="1:18" x14ac:dyDescent="0.3">
      <c r="A72" t="s">
        <v>1036</v>
      </c>
      <c r="B72" t="s">
        <v>413</v>
      </c>
      <c r="C72" s="10">
        <v>2.6896975000000002E-3</v>
      </c>
      <c r="D72" s="10">
        <v>2.6897140000000002E-3</v>
      </c>
      <c r="E72" s="10">
        <v>2.6107353E-3</v>
      </c>
      <c r="F72" s="10">
        <v>2.6107298999999999E-3</v>
      </c>
      <c r="G72" s="10">
        <v>2.60932E-3</v>
      </c>
      <c r="H72" s="10">
        <v>2.6093668E-3</v>
      </c>
      <c r="I72" s="10">
        <v>2.6093514999999999E-3</v>
      </c>
      <c r="J72" s="10">
        <v>2.6896984000000001E-3</v>
      </c>
      <c r="L72" s="248">
        <f t="shared" si="21"/>
        <v>-3.3461000678485901E-7</v>
      </c>
      <c r="M72" s="248">
        <f t="shared" si="15"/>
        <v>5.7999067851308239E-6</v>
      </c>
      <c r="N72" s="248">
        <f t="shared" si="16"/>
        <v>-2.935760381163928E-2</v>
      </c>
      <c r="O72" s="248">
        <f t="shared" si="17"/>
        <v>-2.935961147168031E-2</v>
      </c>
      <c r="P72" s="248">
        <f t="shared" si="18"/>
        <v>-2.988379663682739E-2</v>
      </c>
      <c r="Q72" s="248">
        <f t="shared" si="19"/>
        <v>-2.9866396916472158E-2</v>
      </c>
      <c r="R72" s="248">
        <f t="shared" si="20"/>
        <v>-2.9872085286588305E-2</v>
      </c>
    </row>
    <row r="73" spans="1:18" x14ac:dyDescent="0.3">
      <c r="C73" s="10"/>
      <c r="D73" s="10"/>
      <c r="E73" s="10"/>
      <c r="F73" s="10"/>
      <c r="G73" s="10"/>
      <c r="H73" s="10"/>
      <c r="I73" s="10"/>
      <c r="J73" s="10"/>
      <c r="L73" s="489"/>
      <c r="M73" s="489"/>
      <c r="N73" s="489"/>
      <c r="O73" s="489"/>
      <c r="P73" s="489"/>
      <c r="Q73" s="489"/>
      <c r="R73" s="489"/>
    </row>
    <row r="74" spans="1:18" x14ac:dyDescent="0.3">
      <c r="C74" s="10"/>
      <c r="D74" s="10"/>
      <c r="E74" s="10"/>
      <c r="F74" s="10"/>
      <c r="G74" s="10"/>
      <c r="H74" s="10"/>
      <c r="I74" s="10"/>
      <c r="J74" s="10"/>
      <c r="L74" s="248"/>
      <c r="M74" s="248"/>
      <c r="N74" s="248"/>
      <c r="O74" s="248"/>
      <c r="Q74" s="248"/>
      <c r="R74" s="248"/>
    </row>
    <row r="75" spans="1:18" x14ac:dyDescent="0.3">
      <c r="C75" s="10"/>
      <c r="D75" s="10"/>
      <c r="E75" s="10"/>
      <c r="F75" s="10"/>
      <c r="G75" s="10"/>
      <c r="H75" s="10"/>
      <c r="I75" s="10"/>
      <c r="J75" s="10"/>
      <c r="L75" s="248"/>
      <c r="M75" s="248"/>
      <c r="N75" s="248"/>
      <c r="O75" s="248"/>
      <c r="Q75" s="248"/>
      <c r="R75" s="248"/>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CC"/>
  </sheetPr>
  <dimension ref="A1:P121"/>
  <sheetViews>
    <sheetView zoomScale="70" zoomScaleNormal="70" workbookViewId="0">
      <selection activeCell="A5" sqref="A5"/>
    </sheetView>
  </sheetViews>
  <sheetFormatPr defaultRowHeight="14.4" x14ac:dyDescent="0.3"/>
  <cols>
    <col min="1" max="1" width="35.6640625" bestFit="1" customWidth="1"/>
    <col min="2" max="2" width="14.33203125" customWidth="1"/>
    <col min="3" max="7" width="18.5546875" customWidth="1"/>
    <col min="8" max="8" width="11.5546875" customWidth="1"/>
    <col min="9" max="9" width="5.6640625" customWidth="1"/>
    <col min="10" max="10" width="35.6640625" bestFit="1" customWidth="1"/>
    <col min="11" max="11" width="14.109375" customWidth="1"/>
    <col min="12" max="14" width="18.44140625" customWidth="1"/>
    <col min="15" max="17" width="18.33203125" customWidth="1"/>
    <col min="18" max="18" width="10.77734375" customWidth="1"/>
  </cols>
  <sheetData>
    <row r="1" spans="1:16" x14ac:dyDescent="0.3">
      <c r="A1" s="243" t="s">
        <v>834</v>
      </c>
      <c r="B1" s="243" t="s">
        <v>835</v>
      </c>
    </row>
    <row r="2" spans="1:16" x14ac:dyDescent="0.3">
      <c r="A2" s="243" t="s">
        <v>836</v>
      </c>
      <c r="B2" s="243" t="s">
        <v>837</v>
      </c>
    </row>
    <row r="3" spans="1:16" x14ac:dyDescent="0.3">
      <c r="A3" s="243"/>
    </row>
    <row r="4" spans="1:16" x14ac:dyDescent="0.3">
      <c r="A4" s="243"/>
    </row>
    <row r="5" spans="1:16" x14ac:dyDescent="0.3">
      <c r="A5" s="243" t="s">
        <v>1207</v>
      </c>
    </row>
    <row r="6" spans="1:16" x14ac:dyDescent="0.3">
      <c r="A6" s="243"/>
    </row>
    <row r="7" spans="1:16" x14ac:dyDescent="0.3">
      <c r="A7" t="s">
        <v>387</v>
      </c>
      <c r="B7" t="s">
        <v>388</v>
      </c>
    </row>
    <row r="8" spans="1:16" x14ac:dyDescent="0.3">
      <c r="A8" t="s">
        <v>389</v>
      </c>
      <c r="B8" t="s">
        <v>1023</v>
      </c>
    </row>
    <row r="9" spans="1:16" x14ac:dyDescent="0.3">
      <c r="A9" t="s">
        <v>391</v>
      </c>
      <c r="B9" t="s">
        <v>392</v>
      </c>
    </row>
    <row r="10" spans="1:16" x14ac:dyDescent="0.3">
      <c r="A10" t="s">
        <v>393</v>
      </c>
      <c r="B10" t="s">
        <v>394</v>
      </c>
    </row>
    <row r="13" spans="1:16" s="240" customFormat="1" x14ac:dyDescent="0.3">
      <c r="A13" s="241" t="s">
        <v>838</v>
      </c>
      <c r="B13" s="241"/>
      <c r="C13" s="241"/>
      <c r="D13" s="241"/>
      <c r="E13" s="241"/>
      <c r="F13" s="241"/>
      <c r="G13" s="241"/>
      <c r="H13" s="241"/>
      <c r="I13" s="241"/>
      <c r="J13" s="241"/>
    </row>
    <row r="14" spans="1:16" x14ac:dyDescent="0.3">
      <c r="E14" s="12" t="s">
        <v>673</v>
      </c>
      <c r="N14" s="12" t="s">
        <v>673</v>
      </c>
    </row>
    <row r="15" spans="1:16" s="371" customFormat="1" ht="43.2" x14ac:dyDescent="0.3">
      <c r="A15" s="371" t="s">
        <v>395</v>
      </c>
      <c r="B15" s="371" t="s">
        <v>396</v>
      </c>
      <c r="C15" s="246" t="s">
        <v>828</v>
      </c>
      <c r="D15" s="246" t="s">
        <v>829</v>
      </c>
      <c r="E15" s="247" t="s">
        <v>830</v>
      </c>
      <c r="F15" s="367" t="s">
        <v>826</v>
      </c>
      <c r="G15" s="367" t="s">
        <v>827</v>
      </c>
      <c r="J15" s="371" t="s">
        <v>395</v>
      </c>
      <c r="K15" s="371" t="s">
        <v>396</v>
      </c>
      <c r="L15" s="246" t="s">
        <v>831</v>
      </c>
      <c r="M15" s="246" t="s">
        <v>832</v>
      </c>
      <c r="N15" s="247" t="s">
        <v>833</v>
      </c>
      <c r="O15" s="367" t="s">
        <v>826</v>
      </c>
      <c r="P15" s="367" t="s">
        <v>827</v>
      </c>
    </row>
    <row r="16" spans="1:16" x14ac:dyDescent="0.3">
      <c r="A16" t="s">
        <v>397</v>
      </c>
      <c r="B16" t="s">
        <v>398</v>
      </c>
      <c r="C16" s="10">
        <v>6.7773582000000001</v>
      </c>
      <c r="D16" s="10">
        <v>6.4947457000000002</v>
      </c>
      <c r="E16" s="242">
        <v>6.3251781999999999</v>
      </c>
      <c r="F16" s="230">
        <f t="shared" ref="F16:F31" si="0">(C16-E16)/E16</f>
        <v>7.1488894968998698E-2</v>
      </c>
      <c r="G16" s="230">
        <f>(D16-E16)/E16</f>
        <v>2.6808335613374548E-2</v>
      </c>
      <c r="J16" t="s">
        <v>397</v>
      </c>
      <c r="K16" t="s">
        <v>398</v>
      </c>
      <c r="L16" s="10">
        <v>6.8034295</v>
      </c>
      <c r="M16" s="10">
        <v>6.5208170000000001</v>
      </c>
      <c r="N16" s="242">
        <v>6.3512494999999998</v>
      </c>
      <c r="O16" s="230">
        <f>(L16-N16)/N16</f>
        <v>7.1195439574527855E-2</v>
      </c>
      <c r="P16" s="230">
        <f>(M16-N16)/N16</f>
        <v>2.6698289840447982E-2</v>
      </c>
    </row>
    <row r="17" spans="1:16" x14ac:dyDescent="0.3">
      <c r="A17" t="s">
        <v>399</v>
      </c>
      <c r="B17" t="s">
        <v>400</v>
      </c>
      <c r="C17" s="10">
        <v>6.8383576000000004E-7</v>
      </c>
      <c r="D17" s="10">
        <v>6.8163726999999995E-7</v>
      </c>
      <c r="E17" s="238">
        <v>6.8031817999999996E-7</v>
      </c>
      <c r="F17" s="230">
        <f t="shared" si="0"/>
        <v>5.1704924304684661E-3</v>
      </c>
      <c r="G17" s="230">
        <f t="shared" ref="G17:G31" si="1">(D17-E17)/E17</f>
        <v>1.9389309866744936E-3</v>
      </c>
      <c r="J17" t="s">
        <v>399</v>
      </c>
      <c r="K17" t="s">
        <v>400</v>
      </c>
      <c r="L17" s="10">
        <v>6.8299009000000001E-7</v>
      </c>
      <c r="M17" s="10">
        <v>6.8079160000000003E-7</v>
      </c>
      <c r="N17" s="238">
        <v>6.7947251999999997E-7</v>
      </c>
      <c r="O17" s="230">
        <f t="shared" ref="O17:O31" si="2">(L17-N17)/N17</f>
        <v>5.1769128205509289E-3</v>
      </c>
      <c r="P17" s="230">
        <f t="shared" ref="P17:P31" si="3">(M17-N17)/N17</f>
        <v>1.9413294300703514E-3</v>
      </c>
    </row>
    <row r="18" spans="1:16" x14ac:dyDescent="0.3">
      <c r="A18" t="s">
        <v>1024</v>
      </c>
      <c r="B18" t="s">
        <v>401</v>
      </c>
      <c r="C18" s="10">
        <v>0.21542541000000001</v>
      </c>
      <c r="D18" s="10">
        <v>0.20138257000000001</v>
      </c>
      <c r="E18" s="238">
        <v>0.19295687</v>
      </c>
      <c r="F18" s="230">
        <f t="shared" si="0"/>
        <v>0.11644332746483714</v>
      </c>
      <c r="G18" s="230">
        <f t="shared" si="1"/>
        <v>4.3666234843050718E-2</v>
      </c>
      <c r="J18" t="s">
        <v>1024</v>
      </c>
      <c r="K18" t="s">
        <v>401</v>
      </c>
      <c r="L18" s="10">
        <v>0.21559400000000001</v>
      </c>
      <c r="M18" s="10">
        <v>0.20155117</v>
      </c>
      <c r="N18" s="238">
        <v>0.19312546999999999</v>
      </c>
      <c r="O18" s="230">
        <f t="shared" si="2"/>
        <v>0.11634161977702898</v>
      </c>
      <c r="P18" s="230">
        <f t="shared" si="3"/>
        <v>4.3628113888862036E-2</v>
      </c>
    </row>
    <row r="19" spans="1:16" x14ac:dyDescent="0.3">
      <c r="A19" t="s">
        <v>1025</v>
      </c>
      <c r="B19" t="s">
        <v>402</v>
      </c>
      <c r="C19" s="10">
        <v>3.2889595000000001E-2</v>
      </c>
      <c r="D19" s="10">
        <v>3.2410333E-2</v>
      </c>
      <c r="E19" s="238">
        <v>3.2122775999999999E-2</v>
      </c>
      <c r="F19" s="230">
        <f t="shared" si="0"/>
        <v>2.3871504754134635E-2</v>
      </c>
      <c r="G19" s="230">
        <f t="shared" si="1"/>
        <v>8.9518103914805122E-3</v>
      </c>
      <c r="J19" t="s">
        <v>1025</v>
      </c>
      <c r="K19" t="s">
        <v>402</v>
      </c>
      <c r="L19" s="10">
        <v>3.2984491999999997E-2</v>
      </c>
      <c r="M19" s="10">
        <v>3.2505230000000003E-2</v>
      </c>
      <c r="N19" s="238">
        <v>3.2217673000000002E-2</v>
      </c>
      <c r="O19" s="230">
        <f t="shared" si="2"/>
        <v>2.3801191352336184E-2</v>
      </c>
      <c r="P19" s="230">
        <f t="shared" si="3"/>
        <v>8.9254428772680382E-3</v>
      </c>
    </row>
    <row r="20" spans="1:16" x14ac:dyDescent="0.3">
      <c r="A20" t="s">
        <v>1026</v>
      </c>
      <c r="B20" t="s">
        <v>403</v>
      </c>
      <c r="C20" s="10">
        <v>1.2278490999999999E-6</v>
      </c>
      <c r="D20" s="10">
        <v>1.2773792999999999E-6</v>
      </c>
      <c r="E20" s="238">
        <v>1.3070975E-6</v>
      </c>
      <c r="F20" s="230">
        <f t="shared" si="0"/>
        <v>-6.0629295060238467E-2</v>
      </c>
      <c r="G20" s="230">
        <f t="shared" si="1"/>
        <v>-2.2736023900282929E-2</v>
      </c>
      <c r="J20" t="s">
        <v>1026</v>
      </c>
      <c r="K20" t="s">
        <v>403</v>
      </c>
      <c r="L20" s="10">
        <v>1.2302791000000001E-6</v>
      </c>
      <c r="M20" s="10">
        <v>1.2798094E-6</v>
      </c>
      <c r="N20" s="238">
        <v>1.3095274999999999E-6</v>
      </c>
      <c r="O20" s="230">
        <f t="shared" si="2"/>
        <v>-6.0516789452684142E-2</v>
      </c>
      <c r="P20" s="230">
        <f t="shared" si="3"/>
        <v>-2.269375786304596E-2</v>
      </c>
    </row>
    <row r="21" spans="1:16" x14ac:dyDescent="0.3">
      <c r="A21" t="s">
        <v>1027</v>
      </c>
      <c r="B21" t="s">
        <v>404</v>
      </c>
      <c r="C21" s="10">
        <v>7.4064963000000007E-8</v>
      </c>
      <c r="D21" s="10">
        <v>7.0932813000000001E-8</v>
      </c>
      <c r="E21" s="238">
        <v>6.9053522000000004E-8</v>
      </c>
      <c r="F21" s="230">
        <f t="shared" si="0"/>
        <v>7.2573285979533414E-2</v>
      </c>
      <c r="G21" s="230">
        <f t="shared" si="1"/>
        <v>2.7214991293275332E-2</v>
      </c>
      <c r="J21" t="s">
        <v>1027</v>
      </c>
      <c r="K21" t="s">
        <v>404</v>
      </c>
      <c r="L21" s="10">
        <v>7.4391313000000005E-8</v>
      </c>
      <c r="M21" s="10">
        <v>7.1259162999999999E-8</v>
      </c>
      <c r="N21" s="238">
        <v>6.9379873000000006E-8</v>
      </c>
      <c r="O21" s="230">
        <f t="shared" si="2"/>
        <v>7.2231899300248051E-2</v>
      </c>
      <c r="P21" s="230">
        <f t="shared" si="3"/>
        <v>2.7086962237592924E-2</v>
      </c>
    </row>
    <row r="22" spans="1:16" x14ac:dyDescent="0.3">
      <c r="A22" t="s">
        <v>1028</v>
      </c>
      <c r="B22" t="s">
        <v>404</v>
      </c>
      <c r="C22" s="10">
        <v>3.5317248000000002E-9</v>
      </c>
      <c r="D22" s="10">
        <v>2.5936884999999999E-9</v>
      </c>
      <c r="E22" s="238">
        <v>2.0308667999999998E-9</v>
      </c>
      <c r="F22" s="230">
        <f t="shared" si="0"/>
        <v>0.73902335692326071</v>
      </c>
      <c r="G22" s="230">
        <f t="shared" si="1"/>
        <v>0.27713373422619353</v>
      </c>
      <c r="J22" t="s">
        <v>1028</v>
      </c>
      <c r="K22" t="s">
        <v>404</v>
      </c>
      <c r="L22" s="10">
        <v>3.5380077E-9</v>
      </c>
      <c r="M22" s="10">
        <v>2.5999714000000001E-9</v>
      </c>
      <c r="N22" s="238">
        <v>2.0371497000000001E-9</v>
      </c>
      <c r="O22" s="230">
        <f t="shared" si="2"/>
        <v>0.73674408905737254</v>
      </c>
      <c r="P22" s="230">
        <f t="shared" si="3"/>
        <v>0.27627900885241768</v>
      </c>
    </row>
    <row r="23" spans="1:16" x14ac:dyDescent="0.3">
      <c r="A23" t="s">
        <v>1029</v>
      </c>
      <c r="B23" t="s">
        <v>405</v>
      </c>
      <c r="C23" s="10">
        <v>0.11070196</v>
      </c>
      <c r="D23" s="10">
        <v>0.1134954</v>
      </c>
      <c r="E23" s="238">
        <v>0.11517146</v>
      </c>
      <c r="F23" s="230">
        <f t="shared" si="0"/>
        <v>-3.8807357308833293E-2</v>
      </c>
      <c r="G23" s="230">
        <f t="shared" si="1"/>
        <v>-1.4552737284045951E-2</v>
      </c>
      <c r="J23" t="s">
        <v>1029</v>
      </c>
      <c r="K23" t="s">
        <v>405</v>
      </c>
      <c r="L23" s="10">
        <v>0.11087055</v>
      </c>
      <c r="M23" s="10">
        <v>0.11366398</v>
      </c>
      <c r="N23" s="238">
        <v>0.11534005</v>
      </c>
      <c r="O23" s="230">
        <f t="shared" si="2"/>
        <v>-3.8750633452994003E-2</v>
      </c>
      <c r="P23" s="230">
        <f t="shared" si="3"/>
        <v>-1.453155256998763E-2</v>
      </c>
    </row>
    <row r="24" spans="1:16" x14ac:dyDescent="0.3">
      <c r="A24" t="s">
        <v>1030</v>
      </c>
      <c r="B24" t="s">
        <v>406</v>
      </c>
      <c r="C24" s="10">
        <v>1.5515091E-4</v>
      </c>
      <c r="D24" s="10">
        <v>1.3727145E-4</v>
      </c>
      <c r="E24" s="238">
        <v>1.2654377E-4</v>
      </c>
      <c r="F24" s="230">
        <f t="shared" si="0"/>
        <v>0.22606517887052047</v>
      </c>
      <c r="G24" s="230">
        <f t="shared" si="1"/>
        <v>8.4774461832455295E-2</v>
      </c>
      <c r="J24" t="s">
        <v>1030</v>
      </c>
      <c r="K24" t="s">
        <v>406</v>
      </c>
      <c r="L24" s="10">
        <v>1.5586996999999999E-4</v>
      </c>
      <c r="M24" s="10">
        <v>1.3799050999999999E-4</v>
      </c>
      <c r="N24" s="238">
        <v>1.2726282999999999E-4</v>
      </c>
      <c r="O24" s="230">
        <f t="shared" si="2"/>
        <v>0.22478786618213664</v>
      </c>
      <c r="P24" s="230">
        <f t="shared" si="3"/>
        <v>8.4295469462686012E-2</v>
      </c>
    </row>
    <row r="25" spans="1:16" x14ac:dyDescent="0.3">
      <c r="A25" t="s">
        <v>1031</v>
      </c>
      <c r="B25" t="s">
        <v>407</v>
      </c>
      <c r="C25" s="10">
        <v>9.5560138000000006E-3</v>
      </c>
      <c r="D25" s="10">
        <v>9.4784236000000008E-3</v>
      </c>
      <c r="E25" s="238">
        <v>9.4318695000000004E-3</v>
      </c>
      <c r="F25" s="230">
        <f t="shared" si="0"/>
        <v>1.3162215613776269E-2</v>
      </c>
      <c r="G25" s="230">
        <f t="shared" si="1"/>
        <v>4.935829529872135E-3</v>
      </c>
      <c r="J25" t="s">
        <v>1031</v>
      </c>
      <c r="K25" t="s">
        <v>407</v>
      </c>
      <c r="L25" s="10">
        <v>9.5904765000000003E-3</v>
      </c>
      <c r="M25" s="10">
        <v>9.5128863000000004E-3</v>
      </c>
      <c r="N25" s="238">
        <v>9.4663322000000001E-3</v>
      </c>
      <c r="O25" s="230">
        <f t="shared" si="2"/>
        <v>1.3114297848114836E-2</v>
      </c>
      <c r="P25" s="230">
        <f t="shared" si="3"/>
        <v>4.9178603725739027E-3</v>
      </c>
    </row>
    <row r="26" spans="1:16" x14ac:dyDescent="0.3">
      <c r="A26" t="s">
        <v>1032</v>
      </c>
      <c r="B26" t="s">
        <v>408</v>
      </c>
      <c r="C26" s="10">
        <v>0.10520159</v>
      </c>
      <c r="D26" s="10">
        <v>0.10424934</v>
      </c>
      <c r="E26" s="238">
        <v>0.10367799</v>
      </c>
      <c r="F26" s="230">
        <f t="shared" si="0"/>
        <v>1.4695500944800337E-2</v>
      </c>
      <c r="G26" s="230">
        <f t="shared" si="1"/>
        <v>5.5108128543001102E-3</v>
      </c>
      <c r="J26" t="s">
        <v>1032</v>
      </c>
      <c r="K26" t="s">
        <v>408</v>
      </c>
      <c r="L26" s="10">
        <v>0.10558094</v>
      </c>
      <c r="M26" s="10">
        <v>0.10462869</v>
      </c>
      <c r="N26" s="238">
        <v>0.10405734</v>
      </c>
      <c r="O26" s="230">
        <f t="shared" si="2"/>
        <v>1.4641927229736989E-2</v>
      </c>
      <c r="P26" s="230">
        <f t="shared" si="3"/>
        <v>5.4907227111513539E-3</v>
      </c>
    </row>
    <row r="27" spans="1:16" x14ac:dyDescent="0.3">
      <c r="A27" t="s">
        <v>1033</v>
      </c>
      <c r="B27" t="s">
        <v>409</v>
      </c>
      <c r="C27" s="10">
        <v>155.20746</v>
      </c>
      <c r="D27" s="10">
        <v>152.85442</v>
      </c>
      <c r="E27" s="238">
        <v>151.44259</v>
      </c>
      <c r="F27" s="230">
        <f t="shared" si="0"/>
        <v>2.4860047625968374E-2</v>
      </c>
      <c r="G27" s="230">
        <f t="shared" si="1"/>
        <v>9.322542621596798E-3</v>
      </c>
      <c r="J27" t="s">
        <v>1033</v>
      </c>
      <c r="K27" t="s">
        <v>409</v>
      </c>
      <c r="L27" s="10">
        <v>156.06038000000001</v>
      </c>
      <c r="M27" s="10">
        <v>153.70733999999999</v>
      </c>
      <c r="N27" s="238">
        <v>152.29552000000001</v>
      </c>
      <c r="O27" s="230">
        <f t="shared" si="2"/>
        <v>2.4720753440416361E-2</v>
      </c>
      <c r="P27" s="230">
        <f t="shared" si="3"/>
        <v>9.2702661247026658E-3</v>
      </c>
    </row>
    <row r="28" spans="1:16" x14ac:dyDescent="0.3">
      <c r="A28" t="s">
        <v>410</v>
      </c>
      <c r="B28" t="s">
        <v>411</v>
      </c>
      <c r="C28" s="10">
        <v>26.695450999999998</v>
      </c>
      <c r="D28" s="10">
        <v>22.16386</v>
      </c>
      <c r="E28" s="238">
        <v>19.444904999999999</v>
      </c>
      <c r="F28" s="230">
        <f t="shared" si="0"/>
        <v>0.37287639101348147</v>
      </c>
      <c r="G28" s="230">
        <f t="shared" si="1"/>
        <v>0.13982865948689394</v>
      </c>
      <c r="J28" t="s">
        <v>410</v>
      </c>
      <c r="K28" t="s">
        <v>411</v>
      </c>
      <c r="L28" s="10">
        <v>26.757135999999999</v>
      </c>
      <c r="M28" s="10">
        <v>22.225545</v>
      </c>
      <c r="N28" s="238">
        <v>19.506589999999999</v>
      </c>
      <c r="O28" s="230">
        <f t="shared" si="2"/>
        <v>0.37169725718334162</v>
      </c>
      <c r="P28" s="230">
        <f t="shared" si="3"/>
        <v>0.13938648425993477</v>
      </c>
    </row>
    <row r="29" spans="1:16" x14ac:dyDescent="0.3">
      <c r="A29" t="s">
        <v>1034</v>
      </c>
      <c r="B29" t="s">
        <v>412</v>
      </c>
      <c r="C29" s="10">
        <v>0.71858703000000002</v>
      </c>
      <c r="D29" s="10">
        <v>0.67866649000000001</v>
      </c>
      <c r="E29" s="238">
        <v>0.65471416000000004</v>
      </c>
      <c r="F29" s="230">
        <f t="shared" si="0"/>
        <v>9.7558406251668617E-2</v>
      </c>
      <c r="G29" s="230">
        <f t="shared" si="1"/>
        <v>3.6584408072066081E-2</v>
      </c>
      <c r="J29" t="s">
        <v>1034</v>
      </c>
      <c r="K29" t="s">
        <v>412</v>
      </c>
      <c r="L29" s="10">
        <v>0.72188637</v>
      </c>
      <c r="M29" s="10">
        <v>0.68196581999999994</v>
      </c>
      <c r="N29" s="238">
        <v>0.65801350000000003</v>
      </c>
      <c r="O29" s="230">
        <f t="shared" si="2"/>
        <v>9.7069239460892465E-2</v>
      </c>
      <c r="P29" s="230">
        <f t="shared" si="3"/>
        <v>3.6400955299549197E-2</v>
      </c>
    </row>
    <row r="30" spans="1:16" x14ac:dyDescent="0.3">
      <c r="A30" t="s">
        <v>1035</v>
      </c>
      <c r="B30" t="s">
        <v>21</v>
      </c>
      <c r="C30" s="10">
        <v>92.291318000000004</v>
      </c>
      <c r="D30" s="10">
        <v>90.050646999999998</v>
      </c>
      <c r="E30" s="238">
        <v>88.706243999999998</v>
      </c>
      <c r="F30" s="230">
        <f t="shared" si="0"/>
        <v>4.0415125681569901E-2</v>
      </c>
      <c r="G30" s="230">
        <f t="shared" si="1"/>
        <v>1.5155674948879583E-2</v>
      </c>
      <c r="J30" t="s">
        <v>1035</v>
      </c>
      <c r="K30" t="s">
        <v>21</v>
      </c>
      <c r="L30" s="10">
        <v>92.461985999999996</v>
      </c>
      <c r="M30" s="10">
        <v>90.221315000000004</v>
      </c>
      <c r="N30" s="238">
        <v>88.876912000000004</v>
      </c>
      <c r="O30" s="230">
        <f t="shared" si="2"/>
        <v>4.0337517577118245E-2</v>
      </c>
      <c r="P30" s="230">
        <f t="shared" si="3"/>
        <v>1.5126571904298383E-2</v>
      </c>
    </row>
    <row r="31" spans="1:16" x14ac:dyDescent="0.3">
      <c r="A31" t="s">
        <v>1036</v>
      </c>
      <c r="B31" t="s">
        <v>413</v>
      </c>
      <c r="C31" s="10">
        <v>4.1349113999999999E-5</v>
      </c>
      <c r="D31" s="10">
        <v>4.1268739E-5</v>
      </c>
      <c r="E31" s="239">
        <v>4.1220512999999998E-5</v>
      </c>
      <c r="F31" s="230">
        <f t="shared" si="0"/>
        <v>3.1198301680524978E-3</v>
      </c>
      <c r="G31" s="230">
        <f t="shared" si="1"/>
        <v>1.1699514753734821E-3</v>
      </c>
      <c r="J31" t="s">
        <v>1036</v>
      </c>
      <c r="K31" t="s">
        <v>413</v>
      </c>
      <c r="L31" s="10">
        <v>4.1390251000000002E-5</v>
      </c>
      <c r="M31" s="10">
        <v>4.1309875999999997E-5</v>
      </c>
      <c r="N31" s="239">
        <v>4.1261650000000002E-5</v>
      </c>
      <c r="O31" s="230">
        <f t="shared" si="2"/>
        <v>3.1167197627821512E-3</v>
      </c>
      <c r="P31" s="230">
        <f t="shared" si="3"/>
        <v>1.1687850582803891E-3</v>
      </c>
    </row>
    <row r="35" spans="1:16" s="240" customFormat="1" x14ac:dyDescent="0.3">
      <c r="A35" s="241" t="s">
        <v>839</v>
      </c>
      <c r="B35" s="241"/>
      <c r="C35" s="241"/>
      <c r="D35" s="241"/>
      <c r="E35" s="241"/>
      <c r="F35" s="241"/>
      <c r="G35" s="241"/>
      <c r="H35" s="241"/>
      <c r="I35" s="241"/>
      <c r="J35" s="241"/>
    </row>
    <row r="36" spans="1:16" x14ac:dyDescent="0.3">
      <c r="E36" s="12" t="s">
        <v>673</v>
      </c>
      <c r="N36" s="12" t="s">
        <v>673</v>
      </c>
    </row>
    <row r="37" spans="1:16" s="371" customFormat="1" ht="43.2" x14ac:dyDescent="0.3">
      <c r="A37" s="371" t="s">
        <v>395</v>
      </c>
      <c r="B37" s="371" t="s">
        <v>396</v>
      </c>
      <c r="C37" s="246" t="s">
        <v>828</v>
      </c>
      <c r="D37" s="246" t="s">
        <v>829</v>
      </c>
      <c r="E37" s="247" t="s">
        <v>830</v>
      </c>
      <c r="F37" s="367" t="s">
        <v>826</v>
      </c>
      <c r="G37" s="367" t="s">
        <v>827</v>
      </c>
      <c r="J37" s="371" t="s">
        <v>395</v>
      </c>
      <c r="K37" s="371" t="s">
        <v>396</v>
      </c>
      <c r="L37" s="246" t="s">
        <v>831</v>
      </c>
      <c r="M37" s="246" t="s">
        <v>832</v>
      </c>
      <c r="N37" s="247" t="s">
        <v>833</v>
      </c>
      <c r="O37" s="367" t="s">
        <v>826</v>
      </c>
      <c r="P37" s="367" t="s">
        <v>827</v>
      </c>
    </row>
    <row r="38" spans="1:16" x14ac:dyDescent="0.3">
      <c r="A38" t="s">
        <v>397</v>
      </c>
      <c r="B38" t="s">
        <v>398</v>
      </c>
      <c r="C38" s="10">
        <v>16.287966999999998</v>
      </c>
      <c r="D38" s="10">
        <v>16.226327999999999</v>
      </c>
      <c r="E38" s="242">
        <v>16.189344999999999</v>
      </c>
      <c r="F38" s="248">
        <f t="shared" ref="F38:F53" si="4">(C38-E38)/E38</f>
        <v>6.0917844421747068E-3</v>
      </c>
      <c r="G38" s="248">
        <f t="shared" ref="G38:G53" si="5">(D38-E38)/E38</f>
        <v>2.2844037235601146E-3</v>
      </c>
      <c r="J38" t="s">
        <v>397</v>
      </c>
      <c r="K38" t="s">
        <v>398</v>
      </c>
      <c r="L38" s="10">
        <v>16.732592</v>
      </c>
      <c r="M38" s="10">
        <v>16.667408999999999</v>
      </c>
      <c r="N38" s="242">
        <v>16.628299999999999</v>
      </c>
      <c r="O38" s="495">
        <f>(L38-N38)/N38</f>
        <v>6.2719580474252298E-3</v>
      </c>
      <c r="P38" s="495">
        <f>(M38-N38)/N38</f>
        <v>2.3519541985650874E-3</v>
      </c>
    </row>
    <row r="39" spans="1:16" x14ac:dyDescent="0.3">
      <c r="A39" t="s">
        <v>399</v>
      </c>
      <c r="B39" t="s">
        <v>400</v>
      </c>
      <c r="C39" s="10">
        <v>1.3331578E-6</v>
      </c>
      <c r="D39" s="10">
        <v>1.3326783E-6</v>
      </c>
      <c r="E39" s="238">
        <v>1.3323905999999999E-6</v>
      </c>
      <c r="F39" s="248">
        <f t="shared" si="4"/>
        <v>5.7580712442739125E-4</v>
      </c>
      <c r="G39" s="248">
        <f t="shared" si="5"/>
        <v>2.1592767166031144E-4</v>
      </c>
      <c r="J39" t="s">
        <v>399</v>
      </c>
      <c r="K39" t="s">
        <v>400</v>
      </c>
      <c r="L39" s="10">
        <v>1.3688974E-6</v>
      </c>
      <c r="M39" s="10">
        <v>1.3683904E-6</v>
      </c>
      <c r="N39" s="238">
        <v>1.3680861000000001E-6</v>
      </c>
      <c r="O39" s="495">
        <f t="shared" ref="O39:O53" si="6">(L39-N39)/N39</f>
        <v>5.9301823182032884E-4</v>
      </c>
      <c r="P39" s="495">
        <f t="shared" ref="P39:P53" si="7">(M39-N39)/N39</f>
        <v>2.2242752119179535E-4</v>
      </c>
    </row>
    <row r="40" spans="1:16" x14ac:dyDescent="0.3">
      <c r="A40" t="s">
        <v>1024</v>
      </c>
      <c r="B40" t="s">
        <v>401</v>
      </c>
      <c r="C40" s="10">
        <v>0.41354532999999999</v>
      </c>
      <c r="D40" s="10">
        <v>0.41048255</v>
      </c>
      <c r="E40" s="238">
        <v>0.40864487999999999</v>
      </c>
      <c r="F40" s="248">
        <f t="shared" si="4"/>
        <v>1.1991952523667984E-2</v>
      </c>
      <c r="G40" s="248">
        <f t="shared" si="5"/>
        <v>4.4969852552661704E-3</v>
      </c>
      <c r="J40" t="s">
        <v>1024</v>
      </c>
      <c r="K40" t="s">
        <v>401</v>
      </c>
      <c r="L40" s="10">
        <v>0.42029313000000001</v>
      </c>
      <c r="M40" s="10">
        <v>0.41705424000000002</v>
      </c>
      <c r="N40" s="238">
        <v>0.41511091</v>
      </c>
      <c r="O40" s="495">
        <f t="shared" si="6"/>
        <v>1.2483940737669398E-2</v>
      </c>
      <c r="P40" s="495">
        <f t="shared" si="7"/>
        <v>4.6814717541392029E-3</v>
      </c>
    </row>
    <row r="41" spans="1:16" x14ac:dyDescent="0.3">
      <c r="A41" t="s">
        <v>1025</v>
      </c>
      <c r="B41" t="s">
        <v>402</v>
      </c>
      <c r="C41" s="10">
        <v>0.11660431</v>
      </c>
      <c r="D41" s="10">
        <v>0.11649978</v>
      </c>
      <c r="E41" s="238">
        <v>0.11643706</v>
      </c>
      <c r="F41" s="248">
        <f t="shared" si="4"/>
        <v>1.4363983425896159E-3</v>
      </c>
      <c r="G41" s="248">
        <f t="shared" si="5"/>
        <v>5.3866011388472212E-4</v>
      </c>
      <c r="J41" t="s">
        <v>1025</v>
      </c>
      <c r="K41" t="s">
        <v>402</v>
      </c>
      <c r="L41" s="10">
        <v>0.11990363</v>
      </c>
      <c r="M41" s="10">
        <v>0.11979309</v>
      </c>
      <c r="N41" s="238">
        <v>0.11972677</v>
      </c>
      <c r="O41" s="495">
        <f t="shared" si="6"/>
        <v>1.4771967873183326E-3</v>
      </c>
      <c r="P41" s="495">
        <f t="shared" si="7"/>
        <v>5.5392791436709263E-4</v>
      </c>
    </row>
    <row r="42" spans="1:16" x14ac:dyDescent="0.3">
      <c r="A42" t="s">
        <v>1026</v>
      </c>
      <c r="B42" t="s">
        <v>403</v>
      </c>
      <c r="C42" s="10">
        <v>2.8819502999999998E-6</v>
      </c>
      <c r="D42" s="10">
        <v>2.8927529999999998E-6</v>
      </c>
      <c r="E42" s="238">
        <v>2.8992345999999999E-6</v>
      </c>
      <c r="F42" s="248">
        <f t="shared" si="4"/>
        <v>-5.9616769198325799E-3</v>
      </c>
      <c r="G42" s="248">
        <f t="shared" si="5"/>
        <v>-2.2356245334544584E-3</v>
      </c>
      <c r="J42" t="s">
        <v>1026</v>
      </c>
      <c r="K42" t="s">
        <v>403</v>
      </c>
      <c r="L42" s="10">
        <v>3.5621885000000002E-6</v>
      </c>
      <c r="M42" s="10">
        <v>3.5736124000000001E-6</v>
      </c>
      <c r="N42" s="238">
        <v>3.5804667000000002E-6</v>
      </c>
      <c r="O42" s="495">
        <f t="shared" si="6"/>
        <v>-5.1049769573335256E-3</v>
      </c>
      <c r="P42" s="495">
        <f t="shared" si="7"/>
        <v>-1.9143593766701209E-3</v>
      </c>
    </row>
    <row r="43" spans="1:16" x14ac:dyDescent="0.3">
      <c r="A43" t="s">
        <v>1027</v>
      </c>
      <c r="B43" t="s">
        <v>404</v>
      </c>
      <c r="C43" s="10">
        <v>1.4571166000000001E-6</v>
      </c>
      <c r="D43" s="10">
        <v>1.4564334999999999E-6</v>
      </c>
      <c r="E43" s="238">
        <v>1.4560236E-6</v>
      </c>
      <c r="F43" s="248">
        <f t="shared" si="4"/>
        <v>7.5067464565828552E-4</v>
      </c>
      <c r="G43" s="248">
        <f t="shared" si="5"/>
        <v>2.8152016217315663E-4</v>
      </c>
      <c r="J43" t="s">
        <v>1027</v>
      </c>
      <c r="K43" t="s">
        <v>404</v>
      </c>
      <c r="L43" s="10">
        <v>1.5094001E-6</v>
      </c>
      <c r="M43" s="10">
        <v>1.5086775999999999E-6</v>
      </c>
      <c r="N43" s="238">
        <v>1.5082442000000001E-6</v>
      </c>
      <c r="O43" s="495">
        <f t="shared" si="6"/>
        <v>7.6638783029962592E-4</v>
      </c>
      <c r="P43" s="495">
        <f t="shared" si="7"/>
        <v>2.8735399744938574E-4</v>
      </c>
    </row>
    <row r="44" spans="1:16" x14ac:dyDescent="0.3">
      <c r="A44" t="s">
        <v>1028</v>
      </c>
      <c r="B44" t="s">
        <v>404</v>
      </c>
      <c r="C44" s="10">
        <v>2.6437847999999999E-8</v>
      </c>
      <c r="D44" s="10">
        <v>2.6233259000000001E-8</v>
      </c>
      <c r="E44" s="238">
        <v>2.6110505999999999E-8</v>
      </c>
      <c r="F44" s="248">
        <f t="shared" si="4"/>
        <v>1.2536792661160992E-2</v>
      </c>
      <c r="G44" s="248">
        <f t="shared" si="5"/>
        <v>4.7012876732454431E-3</v>
      </c>
      <c r="J44" t="s">
        <v>1028</v>
      </c>
      <c r="K44" t="s">
        <v>404</v>
      </c>
      <c r="L44" s="10">
        <v>2.7434589999999999E-8</v>
      </c>
      <c r="M44" s="10">
        <v>2.7218238999999999E-8</v>
      </c>
      <c r="N44" s="238">
        <v>2.7088428000000002E-8</v>
      </c>
      <c r="O44" s="495">
        <f t="shared" si="6"/>
        <v>1.2778962293419068E-2</v>
      </c>
      <c r="P44" s="495">
        <f t="shared" si="7"/>
        <v>4.7921200890652573E-3</v>
      </c>
    </row>
    <row r="45" spans="1:16" x14ac:dyDescent="0.3">
      <c r="A45" t="s">
        <v>1029</v>
      </c>
      <c r="B45" t="s">
        <v>405</v>
      </c>
      <c r="C45" s="10">
        <v>0.82831520000000003</v>
      </c>
      <c r="D45" s="10">
        <v>0.82892445999999997</v>
      </c>
      <c r="E45" s="238">
        <v>0.82929001999999996</v>
      </c>
      <c r="F45" s="248">
        <f t="shared" si="4"/>
        <v>-1.1754874368317273E-3</v>
      </c>
      <c r="G45" s="248">
        <f t="shared" si="5"/>
        <v>-4.4081080343881025E-4</v>
      </c>
      <c r="J45" t="s">
        <v>1029</v>
      </c>
      <c r="K45" t="s">
        <v>405</v>
      </c>
      <c r="L45" s="10">
        <v>0.85207188</v>
      </c>
      <c r="M45" s="10">
        <v>0.85271617</v>
      </c>
      <c r="N45" s="238">
        <v>0.85310273999999997</v>
      </c>
      <c r="O45" s="495">
        <f t="shared" si="6"/>
        <v>-1.2083655949809361E-3</v>
      </c>
      <c r="P45" s="495">
        <f t="shared" si="7"/>
        <v>-4.5313416763844295E-4</v>
      </c>
    </row>
    <row r="46" spans="1:16" x14ac:dyDescent="0.3">
      <c r="A46" t="s">
        <v>1030</v>
      </c>
      <c r="B46" t="s">
        <v>406</v>
      </c>
      <c r="C46" s="10">
        <v>1.3401622000000001E-3</v>
      </c>
      <c r="D46" s="10">
        <v>1.3362625999999999E-3</v>
      </c>
      <c r="E46" s="238">
        <v>1.3339229000000001E-3</v>
      </c>
      <c r="F46" s="248">
        <f t="shared" si="4"/>
        <v>4.6774067676625085E-3</v>
      </c>
      <c r="G46" s="248">
        <f t="shared" si="5"/>
        <v>1.7539994253040251E-3</v>
      </c>
      <c r="J46" t="s">
        <v>1030</v>
      </c>
      <c r="K46" t="s">
        <v>406</v>
      </c>
      <c r="L46" s="10">
        <v>1.3886008999999999E-3</v>
      </c>
      <c r="M46" s="10">
        <v>1.3844771000000001E-3</v>
      </c>
      <c r="N46" s="238">
        <v>1.3820028000000001E-3</v>
      </c>
      <c r="O46" s="495">
        <f t="shared" si="6"/>
        <v>4.774302917475882E-3</v>
      </c>
      <c r="P46" s="495">
        <f t="shared" si="7"/>
        <v>1.7903726388977103E-3</v>
      </c>
    </row>
    <row r="47" spans="1:16" x14ac:dyDescent="0.3">
      <c r="A47" t="s">
        <v>1031</v>
      </c>
      <c r="B47" t="s">
        <v>407</v>
      </c>
      <c r="C47" s="10">
        <v>2.4042016999999999E-2</v>
      </c>
      <c r="D47" s="10">
        <v>2.4025095E-2</v>
      </c>
      <c r="E47" s="238">
        <v>2.4014941000000001E-2</v>
      </c>
      <c r="F47" s="248">
        <f t="shared" si="4"/>
        <v>1.1274647728677495E-3</v>
      </c>
      <c r="G47" s="248">
        <f t="shared" si="5"/>
        <v>4.2282011019716142E-4</v>
      </c>
      <c r="J47" t="s">
        <v>1031</v>
      </c>
      <c r="K47" t="s">
        <v>407</v>
      </c>
      <c r="L47" s="10">
        <v>2.5321831999999999E-2</v>
      </c>
      <c r="M47" s="10">
        <v>2.5303935999999999E-2</v>
      </c>
      <c r="N47" s="238">
        <v>2.5293198999999999E-2</v>
      </c>
      <c r="O47" s="495">
        <f t="shared" si="6"/>
        <v>1.1320434398195394E-3</v>
      </c>
      <c r="P47" s="495">
        <f t="shared" si="7"/>
        <v>4.2450146381247571E-4</v>
      </c>
    </row>
    <row r="48" spans="1:16" x14ac:dyDescent="0.3">
      <c r="A48" t="s">
        <v>1032</v>
      </c>
      <c r="B48" t="s">
        <v>408</v>
      </c>
      <c r="C48" s="10">
        <v>0.33141379999999998</v>
      </c>
      <c r="D48" s="10">
        <v>0.33120611</v>
      </c>
      <c r="E48" s="238">
        <v>0.33108149999999997</v>
      </c>
      <c r="F48" s="248">
        <f t="shared" si="4"/>
        <v>1.0036803626901764E-3</v>
      </c>
      <c r="G48" s="248">
        <f t="shared" si="5"/>
        <v>3.7637258499802917E-4</v>
      </c>
      <c r="J48" t="s">
        <v>1032</v>
      </c>
      <c r="K48" t="s">
        <v>408</v>
      </c>
      <c r="L48" s="10">
        <v>0.39734869</v>
      </c>
      <c r="M48" s="10">
        <v>0.39712905999999998</v>
      </c>
      <c r="N48" s="238">
        <v>0.39699728000000001</v>
      </c>
      <c r="O48" s="495">
        <f t="shared" si="6"/>
        <v>8.8516979259907382E-4</v>
      </c>
      <c r="P48" s="495">
        <f t="shared" si="7"/>
        <v>3.3194182086076319E-4</v>
      </c>
    </row>
    <row r="49" spans="1:16" x14ac:dyDescent="0.3">
      <c r="A49" t="s">
        <v>1033</v>
      </c>
      <c r="B49" t="s">
        <v>409</v>
      </c>
      <c r="C49" s="10">
        <v>2187.8352</v>
      </c>
      <c r="D49" s="10">
        <v>2187.3220000000001</v>
      </c>
      <c r="E49" s="238">
        <v>2187.0140999999999</v>
      </c>
      <c r="F49" s="248">
        <f t="shared" si="4"/>
        <v>3.754433956324813E-4</v>
      </c>
      <c r="G49" s="248">
        <f t="shared" si="5"/>
        <v>1.4078555780698681E-4</v>
      </c>
      <c r="J49" t="s">
        <v>1033</v>
      </c>
      <c r="K49" t="s">
        <v>409</v>
      </c>
      <c r="L49" s="10">
        <v>2253.2709</v>
      </c>
      <c r="M49" s="10">
        <v>2252.7282</v>
      </c>
      <c r="N49" s="238">
        <v>2252.4025999999999</v>
      </c>
      <c r="O49" s="495">
        <f t="shared" si="6"/>
        <v>3.854994662144726E-4</v>
      </c>
      <c r="P49" s="495">
        <f t="shared" si="7"/>
        <v>1.4455675020092867E-4</v>
      </c>
    </row>
    <row r="50" spans="1:16" x14ac:dyDescent="0.3">
      <c r="A50" t="s">
        <v>410</v>
      </c>
      <c r="B50" t="s">
        <v>411</v>
      </c>
      <c r="C50" s="10">
        <v>70.884603999999996</v>
      </c>
      <c r="D50" s="10">
        <v>69.896251000000007</v>
      </c>
      <c r="E50" s="238">
        <v>69.303237999999993</v>
      </c>
      <c r="F50" s="248">
        <f t="shared" si="4"/>
        <v>2.2818068038898888E-2</v>
      </c>
      <c r="G50" s="248">
        <f t="shared" si="5"/>
        <v>8.5567863365924313E-3</v>
      </c>
      <c r="J50" t="s">
        <v>410</v>
      </c>
      <c r="K50" t="s">
        <v>411</v>
      </c>
      <c r="L50" s="10">
        <v>72.272619000000006</v>
      </c>
      <c r="M50" s="10">
        <v>71.227438000000006</v>
      </c>
      <c r="N50" s="238">
        <v>70.600329000000002</v>
      </c>
      <c r="O50" s="495">
        <f t="shared" si="6"/>
        <v>2.3686716814025097E-2</v>
      </c>
      <c r="P50" s="495">
        <f t="shared" si="7"/>
        <v>8.8825223463194387E-3</v>
      </c>
    </row>
    <row r="51" spans="1:16" x14ac:dyDescent="0.3">
      <c r="A51" t="s">
        <v>1034</v>
      </c>
      <c r="B51" t="s">
        <v>412</v>
      </c>
      <c r="C51" s="10">
        <v>4.8711769</v>
      </c>
      <c r="D51" s="10">
        <v>4.8624701000000004</v>
      </c>
      <c r="E51" s="238">
        <v>4.857246</v>
      </c>
      <c r="F51" s="248">
        <f t="shared" si="4"/>
        <v>2.8680655663724012E-3</v>
      </c>
      <c r="G51" s="248">
        <f t="shared" si="5"/>
        <v>1.0755271608644894E-3</v>
      </c>
      <c r="J51" t="s">
        <v>1034</v>
      </c>
      <c r="K51" t="s">
        <v>412</v>
      </c>
      <c r="L51" s="10">
        <v>5.0852611999999997</v>
      </c>
      <c r="M51" s="10">
        <v>5.0760538000000004</v>
      </c>
      <c r="N51" s="238">
        <v>5.0705292999999996</v>
      </c>
      <c r="O51" s="495">
        <f t="shared" si="6"/>
        <v>2.9053968783890336E-3</v>
      </c>
      <c r="P51" s="495">
        <f t="shared" si="7"/>
        <v>1.0895312250736469E-3</v>
      </c>
    </row>
    <row r="52" spans="1:16" x14ac:dyDescent="0.3">
      <c r="A52" t="s">
        <v>1035</v>
      </c>
      <c r="B52" t="s">
        <v>21</v>
      </c>
      <c r="C52" s="10">
        <v>187.82965999999999</v>
      </c>
      <c r="D52" s="10">
        <v>187.34096</v>
      </c>
      <c r="E52" s="238">
        <v>187.04774</v>
      </c>
      <c r="F52" s="248">
        <f t="shared" si="4"/>
        <v>4.1803231624182426E-3</v>
      </c>
      <c r="G52" s="248">
        <f t="shared" si="5"/>
        <v>1.567621185906822E-3</v>
      </c>
      <c r="J52" t="s">
        <v>1035</v>
      </c>
      <c r="K52" t="s">
        <v>21</v>
      </c>
      <c r="L52" s="10">
        <v>191.52676</v>
      </c>
      <c r="M52" s="10">
        <v>191.00996000000001</v>
      </c>
      <c r="N52" s="238">
        <v>190.69988000000001</v>
      </c>
      <c r="O52" s="495">
        <f t="shared" si="6"/>
        <v>4.3360278989162896E-3</v>
      </c>
      <c r="P52" s="495">
        <f t="shared" si="7"/>
        <v>1.626010462093627E-3</v>
      </c>
    </row>
    <row r="53" spans="1:16" x14ac:dyDescent="0.3">
      <c r="A53" t="s">
        <v>1036</v>
      </c>
      <c r="B53" t="s">
        <v>413</v>
      </c>
      <c r="C53" s="10">
        <v>1.1957565E-3</v>
      </c>
      <c r="D53" s="10">
        <v>1.1957389999999999E-3</v>
      </c>
      <c r="E53" s="239">
        <v>1.1957285E-3</v>
      </c>
      <c r="F53" s="248">
        <f t="shared" si="4"/>
        <v>2.3416686982042481E-5</v>
      </c>
      <c r="G53" s="248">
        <f t="shared" si="5"/>
        <v>8.7812576181752591E-6</v>
      </c>
      <c r="J53" t="s">
        <v>1036</v>
      </c>
      <c r="K53" t="s">
        <v>413</v>
      </c>
      <c r="L53" s="10">
        <v>1.2254233999999999E-3</v>
      </c>
      <c r="M53" s="10">
        <v>1.2254048999999999E-3</v>
      </c>
      <c r="N53" s="239">
        <v>1.2253938E-3</v>
      </c>
      <c r="O53" s="495">
        <f t="shared" si="6"/>
        <v>2.4155500052229962E-5</v>
      </c>
      <c r="P53" s="495">
        <f t="shared" si="7"/>
        <v>9.0583125195198778E-6</v>
      </c>
    </row>
    <row r="57" spans="1:16" s="240" customFormat="1" x14ac:dyDescent="0.3">
      <c r="A57" s="241" t="s">
        <v>724</v>
      </c>
      <c r="B57" s="241"/>
      <c r="C57" s="241"/>
      <c r="D57" s="241"/>
      <c r="E57" s="241"/>
      <c r="F57" s="241"/>
      <c r="G57" s="241"/>
      <c r="H57" s="241"/>
      <c r="I57" s="241"/>
      <c r="J57" s="241"/>
    </row>
    <row r="58" spans="1:16" x14ac:dyDescent="0.3">
      <c r="E58" s="12" t="s">
        <v>673</v>
      </c>
      <c r="N58" s="12" t="s">
        <v>673</v>
      </c>
    </row>
    <row r="59" spans="1:16" s="371" customFormat="1" ht="43.2" x14ac:dyDescent="0.3">
      <c r="A59" s="371" t="s">
        <v>395</v>
      </c>
      <c r="B59" s="371" t="s">
        <v>396</v>
      </c>
      <c r="C59" s="246" t="s">
        <v>828</v>
      </c>
      <c r="D59" s="246" t="s">
        <v>829</v>
      </c>
      <c r="E59" s="247" t="s">
        <v>830</v>
      </c>
      <c r="F59" s="367" t="s">
        <v>826</v>
      </c>
      <c r="G59" s="367" t="s">
        <v>827</v>
      </c>
      <c r="J59" s="371" t="s">
        <v>395</v>
      </c>
      <c r="K59" s="371" t="s">
        <v>396</v>
      </c>
      <c r="L59" s="246" t="s">
        <v>831</v>
      </c>
      <c r="M59" s="246" t="s">
        <v>832</v>
      </c>
      <c r="N59" s="247" t="s">
        <v>833</v>
      </c>
      <c r="O59" s="367" t="s">
        <v>826</v>
      </c>
      <c r="P59" s="367" t="s">
        <v>827</v>
      </c>
    </row>
    <row r="60" spans="1:16" x14ac:dyDescent="0.3">
      <c r="A60" t="s">
        <v>397</v>
      </c>
      <c r="B60" t="s">
        <v>398</v>
      </c>
      <c r="C60" s="10">
        <v>17.475352000000001</v>
      </c>
      <c r="D60" s="10">
        <v>17.431367000000002</v>
      </c>
      <c r="E60" s="242">
        <v>17.404976000000001</v>
      </c>
      <c r="F60" s="248">
        <f t="shared" ref="F60:F75" si="8">(C60-E60)/E60</f>
        <v>4.0434413698702916E-3</v>
      </c>
      <c r="G60" s="248">
        <f t="shared" ref="G60:G75" si="9">(D60-E60)/E60</f>
        <v>1.5162905137013848E-3</v>
      </c>
      <c r="J60" t="s">
        <v>397</v>
      </c>
      <c r="K60" t="s">
        <v>398</v>
      </c>
      <c r="L60" s="10">
        <v>17.999357</v>
      </c>
      <c r="M60" s="10">
        <v>17.953240999999998</v>
      </c>
      <c r="N60" s="242">
        <v>17.925571000000001</v>
      </c>
      <c r="O60" s="495">
        <f>(L60-N60)/N60</f>
        <v>4.1162426569283815E-3</v>
      </c>
      <c r="P60" s="495">
        <f>(M60-N60)/N60</f>
        <v>1.5436049429051366E-3</v>
      </c>
    </row>
    <row r="61" spans="1:16" x14ac:dyDescent="0.3">
      <c r="A61" t="s">
        <v>399</v>
      </c>
      <c r="B61" t="s">
        <v>400</v>
      </c>
      <c r="C61" s="10">
        <v>1.3235370000000001E-6</v>
      </c>
      <c r="D61" s="10">
        <v>1.3231948000000001E-6</v>
      </c>
      <c r="E61" s="238">
        <v>1.3229894999999999E-6</v>
      </c>
      <c r="F61" s="248">
        <f t="shared" si="8"/>
        <v>4.1383548395522722E-4</v>
      </c>
      <c r="G61" s="248">
        <f t="shared" si="9"/>
        <v>1.5517885818457555E-4</v>
      </c>
      <c r="J61" t="s">
        <v>399</v>
      </c>
      <c r="K61" t="s">
        <v>400</v>
      </c>
      <c r="L61" s="10">
        <v>1.3661012E-6</v>
      </c>
      <c r="M61" s="10">
        <v>1.3657424999999999E-6</v>
      </c>
      <c r="N61" s="238">
        <v>1.3655272000000001E-6</v>
      </c>
      <c r="O61" s="495">
        <f t="shared" ref="O61:O75" si="10">(L61-N61)/N61</f>
        <v>4.2035046976725374E-4</v>
      </c>
      <c r="P61" s="495">
        <f t="shared" ref="P61:P75" si="11">(M61-N61)/N61</f>
        <v>1.5766804205718E-4</v>
      </c>
    </row>
    <row r="62" spans="1:16" x14ac:dyDescent="0.3">
      <c r="A62" t="s">
        <v>1024</v>
      </c>
      <c r="B62" t="s">
        <v>401</v>
      </c>
      <c r="C62" s="10">
        <v>0.48582600999999997</v>
      </c>
      <c r="D62" s="10">
        <v>0.48364043000000001</v>
      </c>
      <c r="E62" s="238">
        <v>0.48232908000000002</v>
      </c>
      <c r="F62" s="248">
        <f t="shared" si="8"/>
        <v>7.2500915764812553E-3</v>
      </c>
      <c r="G62" s="248">
        <f t="shared" si="9"/>
        <v>2.7187869327721E-3</v>
      </c>
      <c r="J62" t="s">
        <v>1024</v>
      </c>
      <c r="K62" t="s">
        <v>401</v>
      </c>
      <c r="L62" s="10">
        <v>0.50174865999999996</v>
      </c>
      <c r="M62" s="10">
        <v>0.49945717000000001</v>
      </c>
      <c r="N62" s="238">
        <v>0.49808227999999999</v>
      </c>
      <c r="O62" s="495">
        <f t="shared" si="10"/>
        <v>7.3609926456327038E-3</v>
      </c>
      <c r="P62" s="495">
        <f t="shared" si="11"/>
        <v>2.760367222861286E-3</v>
      </c>
    </row>
    <row r="63" spans="1:16" x14ac:dyDescent="0.3">
      <c r="A63" t="s">
        <v>1025</v>
      </c>
      <c r="B63" t="s">
        <v>402</v>
      </c>
      <c r="C63" s="10">
        <v>0.1086408</v>
      </c>
      <c r="D63" s="10">
        <v>0.10856621</v>
      </c>
      <c r="E63" s="238">
        <v>0.10852146</v>
      </c>
      <c r="F63" s="248">
        <f t="shared" si="8"/>
        <v>1.0996903285303715E-3</v>
      </c>
      <c r="G63" s="248">
        <f t="shared" si="9"/>
        <v>4.1236083628064149E-4</v>
      </c>
      <c r="J63" t="s">
        <v>1025</v>
      </c>
      <c r="K63" t="s">
        <v>402</v>
      </c>
      <c r="L63" s="10">
        <v>0.11177448</v>
      </c>
      <c r="M63" s="10">
        <v>0.11169628</v>
      </c>
      <c r="N63" s="238">
        <v>0.11164934999999999</v>
      </c>
      <c r="O63" s="495">
        <f t="shared" si="10"/>
        <v>1.1207409626657126E-3</v>
      </c>
      <c r="P63" s="495">
        <f t="shared" si="11"/>
        <v>4.2033383982979376E-4</v>
      </c>
    </row>
    <row r="64" spans="1:16" x14ac:dyDescent="0.3">
      <c r="A64" t="s">
        <v>1026</v>
      </c>
      <c r="B64" t="s">
        <v>403</v>
      </c>
      <c r="C64" s="10">
        <v>2.4628352000000002E-6</v>
      </c>
      <c r="D64" s="10">
        <v>2.4705438999999999E-6</v>
      </c>
      <c r="E64" s="238">
        <v>2.4751692000000001E-6</v>
      </c>
      <c r="F64" s="248">
        <f t="shared" si="8"/>
        <v>-4.9830936810299495E-3</v>
      </c>
      <c r="G64" s="248">
        <f t="shared" si="9"/>
        <v>-1.8686803310255387E-3</v>
      </c>
      <c r="J64" t="s">
        <v>1026</v>
      </c>
      <c r="K64" t="s">
        <v>403</v>
      </c>
      <c r="L64" s="10">
        <v>2.9462803000000002E-6</v>
      </c>
      <c r="M64" s="10">
        <v>2.9543625999999999E-6</v>
      </c>
      <c r="N64" s="238">
        <v>2.9592118999999999E-6</v>
      </c>
      <c r="O64" s="495">
        <f t="shared" si="10"/>
        <v>-4.3699472822476037E-3</v>
      </c>
      <c r="P64" s="495">
        <f t="shared" si="11"/>
        <v>-1.6387133344523414E-3</v>
      </c>
    </row>
    <row r="65" spans="1:16" x14ac:dyDescent="0.3">
      <c r="A65" t="s">
        <v>1027</v>
      </c>
      <c r="B65" t="s">
        <v>404</v>
      </c>
      <c r="C65" s="10">
        <v>1.3179145999999999E-6</v>
      </c>
      <c r="D65" s="10">
        <v>1.3174270999999999E-6</v>
      </c>
      <c r="E65" s="238">
        <v>1.3171346E-6</v>
      </c>
      <c r="F65" s="248">
        <f t="shared" si="8"/>
        <v>5.9219460182727832E-4</v>
      </c>
      <c r="G65" s="248">
        <f t="shared" si="9"/>
        <v>2.2207297568518919E-4</v>
      </c>
      <c r="J65" t="s">
        <v>1027</v>
      </c>
      <c r="K65" t="s">
        <v>404</v>
      </c>
      <c r="L65" s="10">
        <v>1.3622366000000001E-6</v>
      </c>
      <c r="M65" s="10">
        <v>1.3617255E-6</v>
      </c>
      <c r="N65" s="238">
        <v>1.3614189E-6</v>
      </c>
      <c r="O65" s="495">
        <f t="shared" si="10"/>
        <v>6.0062336434443797E-4</v>
      </c>
      <c r="P65" s="495">
        <f t="shared" si="11"/>
        <v>2.2520621683747399E-4</v>
      </c>
    </row>
    <row r="66" spans="1:16" x14ac:dyDescent="0.3">
      <c r="A66" t="s">
        <v>1028</v>
      </c>
      <c r="B66" t="s">
        <v>404</v>
      </c>
      <c r="C66" s="10">
        <v>2.7330445E-8</v>
      </c>
      <c r="D66" s="10">
        <v>2.7184451999999999E-8</v>
      </c>
      <c r="E66" s="238">
        <v>2.7096856999999998E-8</v>
      </c>
      <c r="F66" s="248">
        <f t="shared" si="8"/>
        <v>8.6204831800234857E-3</v>
      </c>
      <c r="G66" s="248">
        <f t="shared" si="9"/>
        <v>3.2326627401842384E-3</v>
      </c>
      <c r="J66" t="s">
        <v>1028</v>
      </c>
      <c r="K66" t="s">
        <v>404</v>
      </c>
      <c r="L66" s="10">
        <v>2.8303800999999999E-8</v>
      </c>
      <c r="M66" s="10">
        <v>2.8150734E-8</v>
      </c>
      <c r="N66" s="238">
        <v>2.8058893999999999E-8</v>
      </c>
      <c r="O66" s="495">
        <f t="shared" si="10"/>
        <v>8.728319797637071E-3</v>
      </c>
      <c r="P66" s="495">
        <f t="shared" si="11"/>
        <v>3.2731154691984787E-3</v>
      </c>
    </row>
    <row r="67" spans="1:16" x14ac:dyDescent="0.3">
      <c r="A67" t="s">
        <v>1029</v>
      </c>
      <c r="B67" t="s">
        <v>405</v>
      </c>
      <c r="C67" s="10">
        <v>0.64199879000000004</v>
      </c>
      <c r="D67" s="10">
        <v>0.64243355000000002</v>
      </c>
      <c r="E67" s="238">
        <v>0.64269441000000005</v>
      </c>
      <c r="F67" s="248">
        <f t="shared" si="8"/>
        <v>-1.0823495415185078E-3</v>
      </c>
      <c r="G67" s="248">
        <f t="shared" si="9"/>
        <v>-4.0588496794305304E-4</v>
      </c>
      <c r="J67" t="s">
        <v>1029</v>
      </c>
      <c r="K67" t="s">
        <v>405</v>
      </c>
      <c r="L67" s="10">
        <v>0.65659928000000001</v>
      </c>
      <c r="M67" s="10">
        <v>0.6570551</v>
      </c>
      <c r="N67" s="238">
        <v>0.65732860000000004</v>
      </c>
      <c r="O67" s="495">
        <f t="shared" si="10"/>
        <v>-1.1095211740369021E-3</v>
      </c>
      <c r="P67" s="495">
        <f t="shared" si="11"/>
        <v>-4.1607804680952203E-4</v>
      </c>
    </row>
    <row r="68" spans="1:16" x14ac:dyDescent="0.3">
      <c r="A68" t="s">
        <v>1030</v>
      </c>
      <c r="B68" t="s">
        <v>406</v>
      </c>
      <c r="C68" s="10">
        <v>1.6293511000000001E-3</v>
      </c>
      <c r="D68" s="10">
        <v>1.6265684E-3</v>
      </c>
      <c r="E68" s="238">
        <v>1.6248987999999999E-3</v>
      </c>
      <c r="F68" s="248">
        <f t="shared" si="8"/>
        <v>2.7400475648084429E-3</v>
      </c>
      <c r="G68" s="248">
        <f t="shared" si="9"/>
        <v>1.027510144016438E-3</v>
      </c>
      <c r="J68" t="s">
        <v>1030</v>
      </c>
      <c r="K68" t="s">
        <v>406</v>
      </c>
      <c r="L68" s="10">
        <v>1.7072465000000001E-3</v>
      </c>
      <c r="M68" s="10">
        <v>1.7043289000000001E-3</v>
      </c>
      <c r="N68" s="238">
        <v>1.7025784000000001E-3</v>
      </c>
      <c r="O68" s="495">
        <f t="shared" si="10"/>
        <v>2.7417826985236178E-3</v>
      </c>
      <c r="P68" s="495">
        <f t="shared" si="11"/>
        <v>1.028146486528884E-3</v>
      </c>
    </row>
    <row r="69" spans="1:16" x14ac:dyDescent="0.3">
      <c r="A69" t="s">
        <v>1031</v>
      </c>
      <c r="B69" t="s">
        <v>407</v>
      </c>
      <c r="C69" s="10">
        <v>2.4516241000000001E-2</v>
      </c>
      <c r="D69" s="10">
        <v>2.4504165000000001E-2</v>
      </c>
      <c r="E69" s="238">
        <v>2.4496919999999998E-2</v>
      </c>
      <c r="F69" s="248">
        <f t="shared" si="8"/>
        <v>7.8871139718800156E-4</v>
      </c>
      <c r="G69" s="248">
        <f t="shared" si="9"/>
        <v>2.9575146589869031E-4</v>
      </c>
      <c r="J69" t="s">
        <v>1031</v>
      </c>
      <c r="K69" t="s">
        <v>407</v>
      </c>
      <c r="L69" s="10">
        <v>2.5707744000000001E-2</v>
      </c>
      <c r="M69" s="10">
        <v>2.5695083000000001E-2</v>
      </c>
      <c r="N69" s="238">
        <v>2.5687486999999998E-2</v>
      </c>
      <c r="O69" s="495">
        <f t="shared" si="10"/>
        <v>7.8859407305987899E-4</v>
      </c>
      <c r="P69" s="495">
        <f t="shared" si="11"/>
        <v>2.9570817884996202E-4</v>
      </c>
    </row>
    <row r="70" spans="1:16" x14ac:dyDescent="0.3">
      <c r="A70" t="s">
        <v>1032</v>
      </c>
      <c r="B70" t="s">
        <v>408</v>
      </c>
      <c r="C70" s="10">
        <v>0.32590717000000002</v>
      </c>
      <c r="D70" s="10">
        <v>0.32575895999999999</v>
      </c>
      <c r="E70" s="238">
        <v>0.32567003999999999</v>
      </c>
      <c r="F70" s="248">
        <f t="shared" si="8"/>
        <v>7.2812961241393228E-4</v>
      </c>
      <c r="G70" s="248">
        <f t="shared" si="9"/>
        <v>2.7303708993308789E-4</v>
      </c>
      <c r="J70" t="s">
        <v>1032</v>
      </c>
      <c r="K70" t="s">
        <v>408</v>
      </c>
      <c r="L70" s="10">
        <v>0.3760231</v>
      </c>
      <c r="M70" s="10">
        <v>0.37586771000000002</v>
      </c>
      <c r="N70" s="238">
        <v>0.37577448000000002</v>
      </c>
      <c r="O70" s="495">
        <f t="shared" si="10"/>
        <v>6.6162023562637141E-4</v>
      </c>
      <c r="P70" s="495">
        <f t="shared" si="11"/>
        <v>2.4810093543340062E-4</v>
      </c>
    </row>
    <row r="71" spans="1:16" x14ac:dyDescent="0.3">
      <c r="A71" t="s">
        <v>1033</v>
      </c>
      <c r="B71" t="s">
        <v>409</v>
      </c>
      <c r="C71" s="10">
        <v>2011.9857999999999</v>
      </c>
      <c r="D71" s="10">
        <v>2011.6196</v>
      </c>
      <c r="E71" s="238">
        <v>2011.3997999999999</v>
      </c>
      <c r="F71" s="248">
        <f t="shared" si="8"/>
        <v>2.9133939458481241E-4</v>
      </c>
      <c r="G71" s="248">
        <f t="shared" si="9"/>
        <v>1.0927713127945896E-4</v>
      </c>
      <c r="J71" t="s">
        <v>1033</v>
      </c>
      <c r="K71" t="s">
        <v>409</v>
      </c>
      <c r="L71" s="10">
        <v>2075.6903000000002</v>
      </c>
      <c r="M71" s="10">
        <v>2075.3063000000002</v>
      </c>
      <c r="N71" s="238">
        <v>2075.0758999999998</v>
      </c>
      <c r="O71" s="495">
        <f t="shared" si="10"/>
        <v>2.9608555523216626E-4</v>
      </c>
      <c r="P71" s="495">
        <f t="shared" si="11"/>
        <v>1.1103208321217192E-4</v>
      </c>
    </row>
    <row r="72" spans="1:16" x14ac:dyDescent="0.3">
      <c r="A72" t="s">
        <v>410</v>
      </c>
      <c r="B72" t="s">
        <v>411</v>
      </c>
      <c r="C72" s="10">
        <v>99.744664999999998</v>
      </c>
      <c r="D72" s="10">
        <v>99.039383000000001</v>
      </c>
      <c r="E72" s="238">
        <v>98.616213000000002</v>
      </c>
      <c r="F72" s="248">
        <f t="shared" si="8"/>
        <v>1.1442864876589773E-2</v>
      </c>
      <c r="G72" s="248">
        <f t="shared" si="9"/>
        <v>4.2910793988813877E-3</v>
      </c>
      <c r="J72" t="s">
        <v>410</v>
      </c>
      <c r="K72" t="s">
        <v>411</v>
      </c>
      <c r="L72" s="10">
        <v>104.38683</v>
      </c>
      <c r="M72" s="10">
        <v>103.64737</v>
      </c>
      <c r="N72" s="238">
        <v>103.20368999999999</v>
      </c>
      <c r="O72" s="495">
        <f t="shared" si="10"/>
        <v>1.1464124974601284E-2</v>
      </c>
      <c r="P72" s="495">
        <f t="shared" si="11"/>
        <v>4.2990710894155095E-3</v>
      </c>
    </row>
    <row r="73" spans="1:16" x14ac:dyDescent="0.3">
      <c r="A73" t="s">
        <v>1034</v>
      </c>
      <c r="B73" t="s">
        <v>412</v>
      </c>
      <c r="C73" s="10">
        <v>4.7320000999999996</v>
      </c>
      <c r="D73" s="10">
        <v>4.7257870000000004</v>
      </c>
      <c r="E73" s="238">
        <v>4.7220592000000003</v>
      </c>
      <c r="F73" s="248">
        <f t="shared" si="8"/>
        <v>2.1052044413164606E-3</v>
      </c>
      <c r="G73" s="248">
        <f t="shared" si="9"/>
        <v>7.8944372404311629E-4</v>
      </c>
      <c r="J73" t="s">
        <v>1034</v>
      </c>
      <c r="K73" t="s">
        <v>412</v>
      </c>
      <c r="L73" s="10">
        <v>4.9307974999999997</v>
      </c>
      <c r="M73" s="10">
        <v>4.9242834000000002</v>
      </c>
      <c r="N73" s="238">
        <v>4.9203748999999997</v>
      </c>
      <c r="O73" s="495">
        <f t="shared" si="10"/>
        <v>2.1182532249727679E-3</v>
      </c>
      <c r="P73" s="495">
        <f t="shared" si="11"/>
        <v>7.9435004027854394E-4</v>
      </c>
    </row>
    <row r="74" spans="1:16" x14ac:dyDescent="0.3">
      <c r="A74" t="s">
        <v>1035</v>
      </c>
      <c r="B74" t="s">
        <v>21</v>
      </c>
      <c r="C74" s="10">
        <v>199.92922999999999</v>
      </c>
      <c r="D74" s="10">
        <v>199.5805</v>
      </c>
      <c r="E74" s="238">
        <v>199.37126000000001</v>
      </c>
      <c r="F74" s="248">
        <f t="shared" si="8"/>
        <v>2.7986481100635225E-3</v>
      </c>
      <c r="G74" s="248">
        <f t="shared" si="9"/>
        <v>1.0494993109839107E-3</v>
      </c>
      <c r="J74" t="s">
        <v>1035</v>
      </c>
      <c r="K74" t="s">
        <v>21</v>
      </c>
      <c r="L74" s="10">
        <v>205.18818999999999</v>
      </c>
      <c r="M74" s="10">
        <v>204.82256000000001</v>
      </c>
      <c r="N74" s="238">
        <v>204.60318000000001</v>
      </c>
      <c r="O74" s="495">
        <f t="shared" si="10"/>
        <v>2.8592419726808874E-3</v>
      </c>
      <c r="P74" s="495">
        <f t="shared" si="11"/>
        <v>1.0722218491423302E-3</v>
      </c>
    </row>
    <row r="75" spans="1:16" x14ac:dyDescent="0.3">
      <c r="A75" t="s">
        <v>1036</v>
      </c>
      <c r="B75" t="s">
        <v>413</v>
      </c>
      <c r="C75" s="10">
        <v>2.7590025000000002E-3</v>
      </c>
      <c r="D75" s="10">
        <v>2.7589899999999998E-3</v>
      </c>
      <c r="E75" s="239">
        <v>2.7589824999999998E-3</v>
      </c>
      <c r="F75" s="248">
        <f t="shared" si="8"/>
        <v>7.2490492419995071E-6</v>
      </c>
      <c r="G75" s="248">
        <f t="shared" si="9"/>
        <v>2.7183934656908697E-6</v>
      </c>
      <c r="J75" t="s">
        <v>1036</v>
      </c>
      <c r="K75" t="s">
        <v>413</v>
      </c>
      <c r="L75" s="10">
        <v>2.9413398000000001E-3</v>
      </c>
      <c r="M75" s="10">
        <v>2.9413267E-3</v>
      </c>
      <c r="N75" s="239">
        <v>2.9413187999999999E-3</v>
      </c>
      <c r="O75" s="495">
        <f t="shared" si="10"/>
        <v>7.1396544979150955E-6</v>
      </c>
      <c r="P75" s="495">
        <f t="shared" si="11"/>
        <v>2.6858700254089632E-6</v>
      </c>
    </row>
    <row r="96" spans="3:5" x14ac:dyDescent="0.3">
      <c r="C96" s="13"/>
      <c r="D96" s="13"/>
      <c r="E96" s="13"/>
    </row>
    <row r="97" spans="3:5" x14ac:dyDescent="0.3">
      <c r="E97" s="9"/>
    </row>
    <row r="98" spans="3:5" x14ac:dyDescent="0.3">
      <c r="C98" s="9"/>
      <c r="D98" s="9"/>
      <c r="E98" s="9"/>
    </row>
    <row r="99" spans="3:5" x14ac:dyDescent="0.3">
      <c r="E99" s="9"/>
    </row>
    <row r="100" spans="3:5" x14ac:dyDescent="0.3">
      <c r="E100" s="9"/>
    </row>
    <row r="101" spans="3:5" x14ac:dyDescent="0.3">
      <c r="C101" s="9"/>
      <c r="D101" s="9"/>
      <c r="E101" s="9"/>
    </row>
    <row r="102" spans="3:5" x14ac:dyDescent="0.3">
      <c r="C102" s="9"/>
      <c r="D102" s="9"/>
      <c r="E102" s="9"/>
    </row>
    <row r="103" spans="3:5" x14ac:dyDescent="0.3">
      <c r="C103" s="9"/>
      <c r="D103" s="9"/>
      <c r="E103" s="9"/>
    </row>
    <row r="104" spans="3:5" x14ac:dyDescent="0.3">
      <c r="E104" s="9"/>
    </row>
    <row r="105" spans="3:5" x14ac:dyDescent="0.3">
      <c r="E105" s="9"/>
    </row>
    <row r="106" spans="3:5" x14ac:dyDescent="0.3">
      <c r="E106" s="9"/>
    </row>
    <row r="107" spans="3:5" x14ac:dyDescent="0.3">
      <c r="E107" s="9"/>
    </row>
    <row r="108" spans="3:5" x14ac:dyDescent="0.3">
      <c r="E108" s="9"/>
    </row>
    <row r="109" spans="3:5" x14ac:dyDescent="0.3">
      <c r="E109" s="9"/>
    </row>
    <row r="110" spans="3:5" x14ac:dyDescent="0.3">
      <c r="E110" s="9"/>
    </row>
    <row r="111" spans="3:5" x14ac:dyDescent="0.3">
      <c r="E111" s="9"/>
    </row>
    <row r="112" spans="3:5" x14ac:dyDescent="0.3">
      <c r="E112" s="9"/>
    </row>
    <row r="113" spans="3:5" x14ac:dyDescent="0.3">
      <c r="E113" s="9"/>
    </row>
    <row r="114" spans="3:5" x14ac:dyDescent="0.3">
      <c r="E114" s="9"/>
    </row>
    <row r="116" spans="3:5" x14ac:dyDescent="0.3">
      <c r="C116" s="9"/>
      <c r="D116" s="9"/>
      <c r="E116" s="9"/>
    </row>
    <row r="117" spans="3:5" x14ac:dyDescent="0.3">
      <c r="C117" s="9"/>
      <c r="D117" s="9"/>
      <c r="E117" s="9"/>
    </row>
    <row r="118" spans="3:5" x14ac:dyDescent="0.3">
      <c r="C118" s="9"/>
      <c r="D118" s="9"/>
      <c r="E118" s="9"/>
    </row>
    <row r="119" spans="3:5" x14ac:dyDescent="0.3">
      <c r="C119" s="9"/>
      <c r="D119" s="9"/>
      <c r="E119" s="9"/>
    </row>
    <row r="121" spans="3:5" x14ac:dyDescent="0.3">
      <c r="C121" s="9"/>
      <c r="D121" s="9"/>
      <c r="E121" s="9"/>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CC"/>
  </sheetPr>
  <dimension ref="A1:V56"/>
  <sheetViews>
    <sheetView zoomScale="70" zoomScaleNormal="70" workbookViewId="0">
      <selection activeCell="A64" sqref="A64"/>
    </sheetView>
  </sheetViews>
  <sheetFormatPr defaultRowHeight="14.4" x14ac:dyDescent="0.3"/>
  <cols>
    <col min="1" max="1" width="35.5546875" bestFit="1" customWidth="1"/>
    <col min="2" max="2" width="13.33203125" customWidth="1"/>
    <col min="3" max="8" width="22.109375" customWidth="1"/>
    <col min="12" max="12" width="11.44140625" customWidth="1"/>
  </cols>
  <sheetData>
    <row r="1" spans="1:22" s="7" customFormat="1" x14ac:dyDescent="0.3">
      <c r="A1" s="243"/>
      <c r="B1" s="243" t="s">
        <v>649</v>
      </c>
      <c r="C1" s="243"/>
      <c r="D1" s="243"/>
      <c r="E1" s="243"/>
      <c r="F1" s="243"/>
      <c r="G1" s="243"/>
      <c r="H1" s="243"/>
      <c r="I1" s="244"/>
      <c r="J1" s="243"/>
      <c r="K1" s="243"/>
      <c r="L1" s="243"/>
    </row>
    <row r="2" spans="1:22" s="374" customFormat="1" ht="21" customHeight="1" x14ac:dyDescent="0.3">
      <c r="A2" s="373" t="s">
        <v>607</v>
      </c>
      <c r="B2" s="582" t="s">
        <v>676</v>
      </c>
      <c r="C2" s="582"/>
      <c r="D2" s="582"/>
      <c r="E2" s="582"/>
      <c r="F2" s="582"/>
      <c r="G2" s="582"/>
      <c r="H2" s="582"/>
      <c r="I2" s="582"/>
      <c r="J2" s="377"/>
      <c r="K2" s="377"/>
      <c r="L2" s="377"/>
    </row>
    <row r="3" spans="1:22" s="374" customFormat="1" ht="21" customHeight="1" x14ac:dyDescent="0.3">
      <c r="A3" s="373" t="s">
        <v>655</v>
      </c>
      <c r="B3" s="582"/>
      <c r="C3" s="582"/>
      <c r="D3" s="582"/>
      <c r="E3" s="582"/>
      <c r="F3" s="582"/>
      <c r="G3" s="582"/>
      <c r="H3" s="582"/>
      <c r="I3" s="582"/>
      <c r="J3" s="377"/>
      <c r="K3" s="377"/>
      <c r="L3" s="377"/>
    </row>
    <row r="4" spans="1:22" s="374" customFormat="1" ht="21" customHeight="1" x14ac:dyDescent="0.3">
      <c r="A4" s="373" t="s">
        <v>608</v>
      </c>
      <c r="B4" s="582" t="s">
        <v>841</v>
      </c>
      <c r="C4" s="582"/>
      <c r="D4" s="582"/>
      <c r="E4" s="582"/>
      <c r="F4" s="582"/>
      <c r="G4" s="582"/>
      <c r="H4" s="582"/>
      <c r="I4" s="582"/>
      <c r="J4" s="375"/>
      <c r="K4" s="375"/>
      <c r="L4" s="375"/>
    </row>
    <row r="5" spans="1:22" s="374" customFormat="1" ht="21" customHeight="1" x14ac:dyDescent="0.3">
      <c r="A5" s="373" t="s">
        <v>674</v>
      </c>
      <c r="B5" s="582"/>
      <c r="C5" s="582"/>
      <c r="D5" s="582"/>
      <c r="E5" s="582"/>
      <c r="F5" s="582"/>
      <c r="G5" s="582"/>
      <c r="H5" s="582"/>
      <c r="I5" s="582"/>
      <c r="J5" s="375"/>
      <c r="K5" s="375"/>
      <c r="L5" s="375"/>
    </row>
    <row r="6" spans="1:22" s="374" customFormat="1" ht="21" customHeight="1" x14ac:dyDescent="0.3">
      <c r="A6" s="373" t="s">
        <v>609</v>
      </c>
      <c r="B6" s="582" t="s">
        <v>842</v>
      </c>
      <c r="C6" s="582"/>
      <c r="D6" s="582"/>
      <c r="E6" s="582"/>
      <c r="F6" s="582"/>
      <c r="G6" s="582"/>
      <c r="H6" s="582"/>
      <c r="I6" s="582"/>
      <c r="J6" s="377"/>
      <c r="K6" s="377"/>
      <c r="L6" s="377"/>
      <c r="M6" s="194"/>
      <c r="N6" s="194"/>
      <c r="O6" s="194"/>
      <c r="P6" s="194"/>
      <c r="Q6" s="194"/>
      <c r="R6" s="194"/>
      <c r="S6" s="194"/>
      <c r="T6" s="194"/>
      <c r="U6" s="194"/>
      <c r="V6" s="194"/>
    </row>
    <row r="7" spans="1:22" s="374" customFormat="1" ht="21" customHeight="1" x14ac:dyDescent="0.3">
      <c r="A7" s="373" t="s">
        <v>675</v>
      </c>
      <c r="B7" s="582"/>
      <c r="C7" s="582"/>
      <c r="D7" s="582"/>
      <c r="E7" s="582"/>
      <c r="F7" s="582"/>
      <c r="G7" s="582"/>
      <c r="H7" s="582"/>
      <c r="I7" s="582"/>
      <c r="J7" s="377"/>
      <c r="K7" s="377"/>
      <c r="L7" s="377"/>
      <c r="M7" s="194"/>
      <c r="N7" s="194"/>
      <c r="O7" s="194"/>
      <c r="P7" s="194"/>
      <c r="Q7" s="194"/>
      <c r="R7" s="194"/>
      <c r="S7" s="194"/>
      <c r="T7" s="194"/>
      <c r="U7" s="194"/>
      <c r="V7" s="194"/>
    </row>
    <row r="8" spans="1:22" s="7" customFormat="1" x14ac:dyDescent="0.3">
      <c r="A8"/>
      <c r="B8"/>
      <c r="C8"/>
      <c r="D8"/>
      <c r="E8"/>
      <c r="F8"/>
      <c r="G8"/>
      <c r="H8"/>
      <c r="I8"/>
    </row>
    <row r="9" spans="1:22" x14ac:dyDescent="0.3">
      <c r="B9" s="243" t="s">
        <v>1207</v>
      </c>
    </row>
    <row r="11" spans="1:22" x14ac:dyDescent="0.3">
      <c r="A11" s="8" t="s">
        <v>387</v>
      </c>
      <c r="B11" s="8" t="s">
        <v>843</v>
      </c>
      <c r="C11" s="8"/>
    </row>
    <row r="12" spans="1:22" x14ac:dyDescent="0.3">
      <c r="A12" t="s">
        <v>389</v>
      </c>
      <c r="B12" t="s">
        <v>390</v>
      </c>
    </row>
    <row r="13" spans="1:22" x14ac:dyDescent="0.3">
      <c r="A13" t="s">
        <v>391</v>
      </c>
      <c r="B13" t="s">
        <v>392</v>
      </c>
    </row>
    <row r="14" spans="1:22" x14ac:dyDescent="0.3">
      <c r="A14" t="s">
        <v>393</v>
      </c>
      <c r="B14" t="s">
        <v>394</v>
      </c>
    </row>
    <row r="17" spans="1:20" x14ac:dyDescent="0.3">
      <c r="A17" s="371" t="s">
        <v>395</v>
      </c>
      <c r="B17" s="371" t="s">
        <v>396</v>
      </c>
      <c r="C17" s="378" t="s">
        <v>607</v>
      </c>
      <c r="D17" s="378" t="s">
        <v>655</v>
      </c>
      <c r="E17" s="378" t="s">
        <v>608</v>
      </c>
      <c r="F17" s="378" t="s">
        <v>674</v>
      </c>
      <c r="G17" s="378" t="s">
        <v>609</v>
      </c>
      <c r="H17" s="378" t="s">
        <v>675</v>
      </c>
      <c r="I17" s="293"/>
      <c r="Q17" s="5"/>
      <c r="R17" s="293"/>
      <c r="S17" s="5"/>
      <c r="T17" s="293"/>
    </row>
    <row r="18" spans="1:20" x14ac:dyDescent="0.3">
      <c r="A18" t="s">
        <v>397</v>
      </c>
      <c r="B18" t="s">
        <v>398</v>
      </c>
      <c r="C18" s="360">
        <f>'Results LCIA_EF'!D8</f>
        <v>17.404976000000001</v>
      </c>
      <c r="D18" s="376">
        <f>'Results LCIA_EF'!E8</f>
        <v>17.925571000000001</v>
      </c>
      <c r="E18" s="10">
        <v>16.924947</v>
      </c>
      <c r="F18" s="376">
        <v>17.416307</v>
      </c>
      <c r="G18" s="10">
        <v>14.719951</v>
      </c>
      <c r="H18" s="376">
        <v>16.298943000000001</v>
      </c>
      <c r="I18" s="138"/>
      <c r="Q18" s="9"/>
      <c r="R18" s="10"/>
      <c r="S18" s="10"/>
      <c r="T18" s="10"/>
    </row>
    <row r="19" spans="1:20" x14ac:dyDescent="0.3">
      <c r="A19" t="s">
        <v>399</v>
      </c>
      <c r="B19" t="s">
        <v>400</v>
      </c>
      <c r="C19" s="360">
        <f>'Results LCIA_EF'!D9</f>
        <v>1.3229894999999999E-6</v>
      </c>
      <c r="D19" s="376">
        <f>'Results LCIA_EF'!E9</f>
        <v>1.3655272000000001E-6</v>
      </c>
      <c r="E19" s="10">
        <v>1.3730771E-6</v>
      </c>
      <c r="F19" s="376">
        <v>1.4186659E-6</v>
      </c>
      <c r="G19" s="10">
        <v>1.354311E-6</v>
      </c>
      <c r="H19" s="376">
        <v>1.524047E-6</v>
      </c>
      <c r="I19" s="138"/>
      <c r="Q19" s="9"/>
      <c r="R19" s="9"/>
      <c r="S19" s="9"/>
      <c r="T19" s="9"/>
    </row>
    <row r="20" spans="1:20" x14ac:dyDescent="0.3">
      <c r="A20" t="s">
        <v>1024</v>
      </c>
      <c r="B20" t="s">
        <v>401</v>
      </c>
      <c r="C20" s="360">
        <f>'Results LCIA_EF'!D10</f>
        <v>0.48232908000000002</v>
      </c>
      <c r="D20" s="376">
        <f>'Results LCIA_EF'!E10</f>
        <v>0.49808227999999999</v>
      </c>
      <c r="E20" s="10">
        <v>0.54683851000000006</v>
      </c>
      <c r="F20" s="376">
        <v>0.56652069000000005</v>
      </c>
      <c r="G20" s="10">
        <v>0.63852103000000004</v>
      </c>
      <c r="H20" s="376">
        <v>0.71187049999999996</v>
      </c>
      <c r="I20" s="138"/>
    </row>
    <row r="21" spans="1:20" x14ac:dyDescent="0.3">
      <c r="A21" t="s">
        <v>1025</v>
      </c>
      <c r="B21" t="s">
        <v>402</v>
      </c>
      <c r="C21" s="360">
        <f>'Results LCIA_EF'!D11</f>
        <v>0.10852146</v>
      </c>
      <c r="D21" s="376">
        <f>'Results LCIA_EF'!E11</f>
        <v>0.11164934999999999</v>
      </c>
      <c r="E21" s="10">
        <v>0.10639308</v>
      </c>
      <c r="F21" s="376">
        <v>0.10939135</v>
      </c>
      <c r="G21" s="10">
        <v>9.9487404000000002E-2</v>
      </c>
      <c r="H21" s="376">
        <v>0.10459154</v>
      </c>
      <c r="I21" s="138"/>
    </row>
    <row r="22" spans="1:20" x14ac:dyDescent="0.3">
      <c r="A22" t="s">
        <v>1026</v>
      </c>
      <c r="B22" t="s">
        <v>403</v>
      </c>
      <c r="C22" s="360">
        <f>'Results LCIA_EF'!D12</f>
        <v>2.4751692000000001E-6</v>
      </c>
      <c r="D22" s="376">
        <f>'Results LCIA_EF'!E12</f>
        <v>2.9592118999999999E-6</v>
      </c>
      <c r="E22" s="10">
        <v>2.4123826E-6</v>
      </c>
      <c r="F22" s="376">
        <v>2.8926013000000001E-6</v>
      </c>
      <c r="G22" s="10">
        <v>2.2266460999999999E-6</v>
      </c>
      <c r="H22" s="376">
        <v>2.7506273999999998E-6</v>
      </c>
      <c r="I22" s="138"/>
    </row>
    <row r="23" spans="1:20" x14ac:dyDescent="0.3">
      <c r="A23" t="s">
        <v>1027</v>
      </c>
      <c r="B23" t="s">
        <v>404</v>
      </c>
      <c r="C23" s="360">
        <f>'Results LCIA_EF'!D13</f>
        <v>1.3171346E-6</v>
      </c>
      <c r="D23" s="376">
        <f>'Results LCIA_EF'!E13</f>
        <v>1.3614189E-6</v>
      </c>
      <c r="E23" s="10">
        <v>1.3108816E-6</v>
      </c>
      <c r="F23" s="376">
        <v>1.3547849999999999E-6</v>
      </c>
      <c r="G23" s="10">
        <v>1.2887537E-6</v>
      </c>
      <c r="H23" s="376">
        <v>1.3407402000000001E-6</v>
      </c>
      <c r="I23" s="138"/>
    </row>
    <row r="24" spans="1:20" x14ac:dyDescent="0.3">
      <c r="A24" t="s">
        <v>1028</v>
      </c>
      <c r="B24" t="s">
        <v>404</v>
      </c>
      <c r="C24" s="360">
        <f>'Results LCIA_EF'!D14</f>
        <v>2.7096856999999998E-8</v>
      </c>
      <c r="D24" s="376">
        <f>'Results LCIA_EF'!E14</f>
        <v>2.8058893999999999E-8</v>
      </c>
      <c r="E24" s="10">
        <v>2.7003606000000002E-8</v>
      </c>
      <c r="F24" s="376">
        <v>2.7959963999999999E-8</v>
      </c>
      <c r="G24" s="10">
        <v>2.6544757999999999E-8</v>
      </c>
      <c r="H24" s="376">
        <v>2.7748106999999999E-8</v>
      </c>
      <c r="I24" s="138"/>
    </row>
    <row r="25" spans="1:20" x14ac:dyDescent="0.3">
      <c r="A25" t="s">
        <v>1029</v>
      </c>
      <c r="B25" t="s">
        <v>405</v>
      </c>
      <c r="C25" s="360">
        <f>'Results LCIA_EF'!D15</f>
        <v>0.64269441000000005</v>
      </c>
      <c r="D25" s="376">
        <f>'Results LCIA_EF'!E15</f>
        <v>0.65732860000000004</v>
      </c>
      <c r="E25" s="10">
        <v>0.63973338000000002</v>
      </c>
      <c r="F25" s="376">
        <v>0.65418723000000001</v>
      </c>
      <c r="G25" s="10">
        <v>0.62832370000000004</v>
      </c>
      <c r="H25" s="376">
        <v>0.64751897999999997</v>
      </c>
      <c r="I25" s="138"/>
    </row>
    <row r="26" spans="1:20" x14ac:dyDescent="0.3">
      <c r="A26" t="s">
        <v>1030</v>
      </c>
      <c r="B26" t="s">
        <v>406</v>
      </c>
      <c r="C26" s="360">
        <f>'Results LCIA_EF'!D16</f>
        <v>1.6248987999999999E-3</v>
      </c>
      <c r="D26" s="376">
        <f>'Results LCIA_EF'!E16</f>
        <v>1.7025784000000001E-3</v>
      </c>
      <c r="E26" s="10">
        <v>1.6446645000000001E-3</v>
      </c>
      <c r="F26" s="376">
        <v>1.7235479000000001E-3</v>
      </c>
      <c r="G26" s="10">
        <v>1.6587780000000001E-3</v>
      </c>
      <c r="H26" s="376">
        <v>1.7682405000000001E-3</v>
      </c>
      <c r="I26" s="138"/>
    </row>
    <row r="27" spans="1:20" x14ac:dyDescent="0.3">
      <c r="A27" t="s">
        <v>1031</v>
      </c>
      <c r="B27" t="s">
        <v>407</v>
      </c>
      <c r="C27" s="360">
        <f>'Results LCIA_EF'!D17</f>
        <v>2.4496919999999998E-2</v>
      </c>
      <c r="D27" s="376">
        <f>'Results LCIA_EF'!E17</f>
        <v>2.5687486999999998E-2</v>
      </c>
      <c r="E27" s="10">
        <v>2.3740153999999999E-2</v>
      </c>
      <c r="F27" s="376">
        <v>2.4884630000000001E-2</v>
      </c>
      <c r="G27" s="10">
        <v>2.1415093E-2</v>
      </c>
      <c r="H27" s="376">
        <v>2.3173389999999999E-2</v>
      </c>
      <c r="I27" s="138"/>
    </row>
    <row r="28" spans="1:20" x14ac:dyDescent="0.3">
      <c r="A28" t="s">
        <v>1032</v>
      </c>
      <c r="B28" t="s">
        <v>408</v>
      </c>
      <c r="C28" s="360">
        <f>'Results LCIA_EF'!D18</f>
        <v>0.32567003999999999</v>
      </c>
      <c r="D28" s="376">
        <f>'Results LCIA_EF'!E18</f>
        <v>0.37577448000000002</v>
      </c>
      <c r="E28" s="10">
        <v>0.31771509999999997</v>
      </c>
      <c r="F28" s="376">
        <v>0.36733505</v>
      </c>
      <c r="G28" s="10">
        <v>0.29276785999999999</v>
      </c>
      <c r="H28" s="376">
        <v>0.34934537999999998</v>
      </c>
      <c r="I28" s="138"/>
    </row>
    <row r="29" spans="1:20" x14ac:dyDescent="0.3">
      <c r="A29" t="s">
        <v>1033</v>
      </c>
      <c r="B29" t="s">
        <v>409</v>
      </c>
      <c r="C29" s="360">
        <f>'Results LCIA_EF'!D19</f>
        <v>2011.3997999999999</v>
      </c>
      <c r="D29" s="376">
        <f>'Results LCIA_EF'!E19</f>
        <v>2075.0758999999998</v>
      </c>
      <c r="E29" s="10">
        <v>1990.9193</v>
      </c>
      <c r="F29" s="376">
        <v>2053.3481000000002</v>
      </c>
      <c r="G29" s="10">
        <v>1931.2312999999999</v>
      </c>
      <c r="H29" s="376">
        <v>2007.2363</v>
      </c>
      <c r="I29" s="138"/>
    </row>
    <row r="30" spans="1:20" x14ac:dyDescent="0.3">
      <c r="A30" t="s">
        <v>410</v>
      </c>
      <c r="B30" t="s">
        <v>411</v>
      </c>
      <c r="C30" s="360">
        <f>'Results LCIA_EF'!D20</f>
        <v>98.616213000000002</v>
      </c>
      <c r="D30" s="376">
        <f>'Results LCIA_EF'!E20</f>
        <v>103.20368999999999</v>
      </c>
      <c r="E30" s="10">
        <v>98.422220999999993</v>
      </c>
      <c r="F30" s="376">
        <v>102.99789</v>
      </c>
      <c r="G30" s="10">
        <v>95.693831000000003</v>
      </c>
      <c r="H30" s="376">
        <v>102.58054</v>
      </c>
      <c r="I30" s="138"/>
    </row>
    <row r="31" spans="1:20" x14ac:dyDescent="0.3">
      <c r="A31" t="s">
        <v>1034</v>
      </c>
      <c r="B31" t="s">
        <v>412</v>
      </c>
      <c r="C31" s="360">
        <f>'Results LCIA_EF'!D21</f>
        <v>4.7220592000000003</v>
      </c>
      <c r="D31" s="376">
        <f>'Results LCIA_EF'!E21</f>
        <v>4.9203748999999997</v>
      </c>
      <c r="E31" s="10">
        <v>4.7082110999999998</v>
      </c>
      <c r="F31" s="376">
        <v>4.9056834</v>
      </c>
      <c r="G31" s="10">
        <v>4.3391082000000001</v>
      </c>
      <c r="H31" s="376">
        <v>4.8742749999999999</v>
      </c>
      <c r="I31" s="138"/>
    </row>
    <row r="32" spans="1:20" x14ac:dyDescent="0.3">
      <c r="A32" t="s">
        <v>1035</v>
      </c>
      <c r="B32" t="s">
        <v>21</v>
      </c>
      <c r="C32" s="360">
        <f>'Results LCIA_EF'!D22</f>
        <v>199.37126000000001</v>
      </c>
      <c r="D32" s="376">
        <f>'Results LCIA_EF'!E22</f>
        <v>204.60318000000001</v>
      </c>
      <c r="E32" s="10">
        <v>200.48617999999999</v>
      </c>
      <c r="F32" s="376">
        <v>205.78604000000001</v>
      </c>
      <c r="G32" s="10">
        <v>188.28360000000001</v>
      </c>
      <c r="H32" s="376">
        <v>207.73972000000001</v>
      </c>
      <c r="I32" s="138"/>
    </row>
    <row r="33" spans="1:16" x14ac:dyDescent="0.3">
      <c r="A33" t="s">
        <v>1036</v>
      </c>
      <c r="B33" t="s">
        <v>413</v>
      </c>
      <c r="C33" s="365">
        <f>'Results LCIA_EF'!D23</f>
        <v>2.7589824999999998E-3</v>
      </c>
      <c r="D33" s="540">
        <f>'Results LCIA_EF'!E23</f>
        <v>2.9413187999999999E-3</v>
      </c>
      <c r="E33" s="258">
        <v>2.7588576000000002E-3</v>
      </c>
      <c r="F33" s="540">
        <v>2.9411863999999999E-3</v>
      </c>
      <c r="G33" s="258">
        <v>2.7235040999999999E-3</v>
      </c>
      <c r="H33" s="540">
        <v>2.9409150000000001E-3</v>
      </c>
      <c r="I33" s="138"/>
      <c r="N33" s="9"/>
      <c r="O33" s="9"/>
      <c r="P33" s="9"/>
    </row>
    <row r="34" spans="1:16" x14ac:dyDescent="0.3">
      <c r="J34" s="138"/>
    </row>
    <row r="35" spans="1:16" x14ac:dyDescent="0.3">
      <c r="B35" s="218"/>
      <c r="C35" s="218"/>
      <c r="D35" s="218"/>
      <c r="E35" s="218"/>
      <c r="F35" s="10"/>
      <c r="G35" s="10"/>
      <c r="H35" s="10"/>
    </row>
    <row r="36" spans="1:16" x14ac:dyDescent="0.3">
      <c r="A36" s="8" t="s">
        <v>387</v>
      </c>
      <c r="B36" s="8" t="s">
        <v>844</v>
      </c>
      <c r="C36" s="8"/>
      <c r="N36" s="9"/>
      <c r="O36" s="9"/>
      <c r="P36" s="9"/>
    </row>
    <row r="37" spans="1:16" x14ac:dyDescent="0.3">
      <c r="N37" s="9"/>
      <c r="O37" s="9"/>
      <c r="P37" s="9"/>
    </row>
    <row r="38" spans="1:16" x14ac:dyDescent="0.3">
      <c r="A38" s="371" t="s">
        <v>395</v>
      </c>
      <c r="B38" s="371" t="s">
        <v>396</v>
      </c>
      <c r="C38" s="378" t="s">
        <v>607</v>
      </c>
      <c r="D38" s="378" t="s">
        <v>655</v>
      </c>
      <c r="E38" s="378" t="s">
        <v>608</v>
      </c>
      <c r="F38" s="378" t="s">
        <v>674</v>
      </c>
      <c r="G38" s="378" t="s">
        <v>609</v>
      </c>
      <c r="H38" s="378" t="s">
        <v>675</v>
      </c>
      <c r="N38" s="9"/>
      <c r="O38" s="9"/>
      <c r="P38" s="9"/>
    </row>
    <row r="39" spans="1:16" x14ac:dyDescent="0.3">
      <c r="A39" t="s">
        <v>397</v>
      </c>
      <c r="B39" t="s">
        <v>398</v>
      </c>
      <c r="C39" s="360">
        <f t="shared" ref="C39:C54" si="0">C18*$C$56</f>
        <v>116.65533512064344</v>
      </c>
      <c r="D39" s="376">
        <f>D18*$D$56</f>
        <v>113.02377679697354</v>
      </c>
      <c r="E39" s="360">
        <f t="shared" ref="E39:E54" si="1">E18*$C$56</f>
        <v>113.43798257372654</v>
      </c>
      <c r="F39" s="376">
        <f>F18*$D$56</f>
        <v>109.81278058007567</v>
      </c>
      <c r="G39" s="360">
        <f t="shared" ref="G39:G54" si="2">G18*$C$56</f>
        <v>98.659189008042901</v>
      </c>
      <c r="H39" s="376">
        <f t="shared" ref="H39:H54" si="3">H18*$D$56</f>
        <v>102.76761034047921</v>
      </c>
    </row>
    <row r="40" spans="1:16" x14ac:dyDescent="0.3">
      <c r="A40" t="s">
        <v>399</v>
      </c>
      <c r="B40" t="s">
        <v>400</v>
      </c>
      <c r="C40" s="360">
        <f t="shared" si="0"/>
        <v>8.8672218498659518E-6</v>
      </c>
      <c r="D40" s="376">
        <f t="shared" ref="D40:D54" si="4">D19*$D$56</f>
        <v>8.6098814627994968E-6</v>
      </c>
      <c r="E40" s="360">
        <f t="shared" si="1"/>
        <v>9.2029296246648797E-6</v>
      </c>
      <c r="F40" s="376">
        <f t="shared" ref="F40:F54" si="5">F19*$D$56</f>
        <v>8.9449300126103403E-6</v>
      </c>
      <c r="G40" s="360">
        <f t="shared" si="2"/>
        <v>9.0771514745308314E-6</v>
      </c>
      <c r="H40" s="376">
        <f t="shared" si="3"/>
        <v>9.6093757881462797E-6</v>
      </c>
    </row>
    <row r="41" spans="1:16" x14ac:dyDescent="0.3">
      <c r="A41" t="s">
        <v>1024</v>
      </c>
      <c r="B41" t="s">
        <v>401</v>
      </c>
      <c r="C41" s="360">
        <f t="shared" si="0"/>
        <v>3.2327686327077751</v>
      </c>
      <c r="D41" s="376">
        <f t="shared" si="4"/>
        <v>3.1404935687263555</v>
      </c>
      <c r="E41" s="360">
        <f t="shared" si="1"/>
        <v>3.6651374664879359</v>
      </c>
      <c r="F41" s="376">
        <f t="shared" si="5"/>
        <v>3.5720093947036573</v>
      </c>
      <c r="G41" s="360">
        <f t="shared" si="2"/>
        <v>4.2796315683646116</v>
      </c>
      <c r="H41" s="376">
        <f t="shared" si="3"/>
        <v>4.4884646910466586</v>
      </c>
    </row>
    <row r="42" spans="1:16" x14ac:dyDescent="0.3">
      <c r="A42" t="s">
        <v>1025</v>
      </c>
      <c r="B42" t="s">
        <v>402</v>
      </c>
      <c r="C42" s="360">
        <f t="shared" si="0"/>
        <v>0.7273556300268097</v>
      </c>
      <c r="D42" s="376">
        <f t="shared" si="4"/>
        <v>0.70396815889029007</v>
      </c>
      <c r="E42" s="360">
        <f t="shared" si="1"/>
        <v>0.71309034852546915</v>
      </c>
      <c r="F42" s="376">
        <f t="shared" si="5"/>
        <v>0.68973108448928122</v>
      </c>
      <c r="G42" s="360">
        <f t="shared" si="2"/>
        <v>0.66680565683646109</v>
      </c>
      <c r="H42" s="376">
        <f t="shared" si="3"/>
        <v>0.65946746532156364</v>
      </c>
    </row>
    <row r="43" spans="1:16" x14ac:dyDescent="0.3">
      <c r="A43" t="s">
        <v>1026</v>
      </c>
      <c r="B43" t="s">
        <v>403</v>
      </c>
      <c r="C43" s="360">
        <f t="shared" si="0"/>
        <v>1.6589605898123327E-5</v>
      </c>
      <c r="D43" s="376">
        <f t="shared" si="4"/>
        <v>1.8658334804539724E-5</v>
      </c>
      <c r="E43" s="360">
        <f t="shared" si="1"/>
        <v>1.616878418230563E-5</v>
      </c>
      <c r="F43" s="376">
        <f t="shared" si="5"/>
        <v>1.8238343631778059E-5</v>
      </c>
      <c r="G43" s="360">
        <f t="shared" si="2"/>
        <v>1.4923901474530831E-5</v>
      </c>
      <c r="H43" s="376">
        <f t="shared" si="3"/>
        <v>1.7343174022698612E-5</v>
      </c>
    </row>
    <row r="44" spans="1:16" x14ac:dyDescent="0.3">
      <c r="A44" t="s">
        <v>1027</v>
      </c>
      <c r="B44" t="s">
        <v>404</v>
      </c>
      <c r="C44" s="360">
        <f t="shared" si="0"/>
        <v>8.8279798927613949E-6</v>
      </c>
      <c r="D44" s="376">
        <f t="shared" si="4"/>
        <v>8.5839779319041611E-6</v>
      </c>
      <c r="E44" s="360">
        <f t="shared" si="1"/>
        <v>8.7860697050938345E-6</v>
      </c>
      <c r="F44" s="376">
        <f t="shared" si="5"/>
        <v>8.542150063051702E-6</v>
      </c>
      <c r="G44" s="360">
        <f t="shared" si="2"/>
        <v>8.6377593833780167E-6</v>
      </c>
      <c r="H44" s="376">
        <f t="shared" si="3"/>
        <v>8.4535952080706191E-6</v>
      </c>
    </row>
    <row r="45" spans="1:16" x14ac:dyDescent="0.3">
      <c r="A45" t="s">
        <v>1028</v>
      </c>
      <c r="B45" t="s">
        <v>404</v>
      </c>
      <c r="C45" s="360">
        <f t="shared" si="0"/>
        <v>1.8161432305630025E-7</v>
      </c>
      <c r="D45" s="376">
        <f t="shared" si="4"/>
        <v>1.7691610340479193E-7</v>
      </c>
      <c r="E45" s="360">
        <f t="shared" si="1"/>
        <v>1.8098931635388742E-7</v>
      </c>
      <c r="F45" s="376">
        <f t="shared" si="5"/>
        <v>1.7629233291298864E-7</v>
      </c>
      <c r="G45" s="360">
        <f t="shared" si="2"/>
        <v>1.7791392761394101E-7</v>
      </c>
      <c r="H45" s="376">
        <f t="shared" si="3"/>
        <v>1.7495653846153847E-7</v>
      </c>
    </row>
    <row r="46" spans="1:16" x14ac:dyDescent="0.3">
      <c r="A46" t="s">
        <v>1029</v>
      </c>
      <c r="B46" t="s">
        <v>405</v>
      </c>
      <c r="C46" s="360">
        <f t="shared" si="0"/>
        <v>4.3076032841823055</v>
      </c>
      <c r="D46" s="376">
        <f t="shared" si="4"/>
        <v>4.1445687263556117</v>
      </c>
      <c r="E46" s="360">
        <f t="shared" si="1"/>
        <v>4.2877572386058986</v>
      </c>
      <c r="F46" s="376">
        <f t="shared" si="5"/>
        <v>4.1247618537200506</v>
      </c>
      <c r="G46" s="360">
        <f t="shared" si="2"/>
        <v>4.2112848525469175</v>
      </c>
      <c r="H46" s="376">
        <f t="shared" si="3"/>
        <v>4.0827174022698616</v>
      </c>
    </row>
    <row r="47" spans="1:16" x14ac:dyDescent="0.3">
      <c r="A47" t="s">
        <v>1030</v>
      </c>
      <c r="B47" t="s">
        <v>406</v>
      </c>
      <c r="C47" s="360">
        <f t="shared" si="0"/>
        <v>1.0890742627345844E-2</v>
      </c>
      <c r="D47" s="376">
        <f t="shared" si="4"/>
        <v>1.0735046658259775E-2</v>
      </c>
      <c r="E47" s="360">
        <f t="shared" si="1"/>
        <v>1.1023220509383378E-2</v>
      </c>
      <c r="F47" s="376">
        <f t="shared" si="5"/>
        <v>1.0867262925598992E-2</v>
      </c>
      <c r="G47" s="360">
        <f t="shared" si="2"/>
        <v>1.1117815013404826E-2</v>
      </c>
      <c r="H47" s="376">
        <f t="shared" si="3"/>
        <v>1.114905737704918E-2</v>
      </c>
    </row>
    <row r="48" spans="1:16" x14ac:dyDescent="0.3">
      <c r="A48" t="s">
        <v>1031</v>
      </c>
      <c r="B48" t="s">
        <v>407</v>
      </c>
      <c r="C48" s="360">
        <f t="shared" si="0"/>
        <v>0.16418847184986593</v>
      </c>
      <c r="D48" s="376">
        <f t="shared" si="4"/>
        <v>0.16196397856242117</v>
      </c>
      <c r="E48" s="360">
        <f t="shared" si="1"/>
        <v>0.15911631367292225</v>
      </c>
      <c r="F48" s="376">
        <f t="shared" si="5"/>
        <v>0.15690182849936948</v>
      </c>
      <c r="G48" s="360">
        <f t="shared" si="2"/>
        <v>0.14353279490616622</v>
      </c>
      <c r="H48" s="376">
        <f t="shared" si="3"/>
        <v>0.14611216897856241</v>
      </c>
    </row>
    <row r="49" spans="1:16" x14ac:dyDescent="0.3">
      <c r="A49" t="s">
        <v>1032</v>
      </c>
      <c r="B49" t="s">
        <v>408</v>
      </c>
      <c r="C49" s="360">
        <f t="shared" si="0"/>
        <v>2.1827750670241288</v>
      </c>
      <c r="D49" s="376">
        <f t="shared" si="4"/>
        <v>2.3693220680958387</v>
      </c>
      <c r="E49" s="360">
        <f t="shared" si="1"/>
        <v>2.1294577747989276</v>
      </c>
      <c r="F49" s="376">
        <f t="shared" si="5"/>
        <v>2.3161100252206812</v>
      </c>
      <c r="G49" s="360">
        <f t="shared" si="2"/>
        <v>1.9622510723860589</v>
      </c>
      <c r="H49" s="376">
        <f t="shared" si="3"/>
        <v>2.2026820933165197</v>
      </c>
    </row>
    <row r="50" spans="1:16" x14ac:dyDescent="0.3">
      <c r="A50" t="s">
        <v>1033</v>
      </c>
      <c r="B50" t="s">
        <v>409</v>
      </c>
      <c r="C50" s="360">
        <f t="shared" si="0"/>
        <v>13481.231903485253</v>
      </c>
      <c r="D50" s="376">
        <f t="shared" si="4"/>
        <v>13083.706809583859</v>
      </c>
      <c r="E50" s="360">
        <f t="shared" si="1"/>
        <v>13343.963136729222</v>
      </c>
      <c r="F50" s="376">
        <f t="shared" si="5"/>
        <v>12946.709331651957</v>
      </c>
      <c r="G50" s="360">
        <f t="shared" si="2"/>
        <v>12943.909517426273</v>
      </c>
      <c r="H50" s="376">
        <f t="shared" si="3"/>
        <v>12655.96658259773</v>
      </c>
    </row>
    <row r="51" spans="1:16" x14ac:dyDescent="0.3">
      <c r="A51" t="s">
        <v>410</v>
      </c>
      <c r="B51" t="s">
        <v>411</v>
      </c>
      <c r="C51" s="360">
        <f t="shared" si="0"/>
        <v>660.96657506702411</v>
      </c>
      <c r="D51" s="376">
        <f t="shared" si="4"/>
        <v>650.71683480453976</v>
      </c>
      <c r="E51" s="360">
        <f t="shared" si="1"/>
        <v>659.66636058981226</v>
      </c>
      <c r="F51" s="376">
        <f t="shared" si="5"/>
        <v>649.41923076923081</v>
      </c>
      <c r="G51" s="360">
        <f t="shared" si="2"/>
        <v>641.37956434316357</v>
      </c>
      <c r="H51" s="376">
        <f t="shared" si="3"/>
        <v>646.78776796973523</v>
      </c>
      <c r="N51" s="9"/>
      <c r="O51" s="9"/>
      <c r="P51" s="9"/>
    </row>
    <row r="52" spans="1:16" x14ac:dyDescent="0.3">
      <c r="A52" t="s">
        <v>1034</v>
      </c>
      <c r="B52" t="s">
        <v>412</v>
      </c>
      <c r="C52" s="360">
        <f t="shared" si="0"/>
        <v>31.649190348525472</v>
      </c>
      <c r="D52" s="376">
        <f t="shared" si="4"/>
        <v>31.02380138713745</v>
      </c>
      <c r="E52" s="360">
        <f t="shared" si="1"/>
        <v>31.556374664879357</v>
      </c>
      <c r="F52" s="376">
        <f t="shared" si="5"/>
        <v>30.931168978562422</v>
      </c>
      <c r="G52" s="360">
        <f t="shared" si="2"/>
        <v>29.082494638069704</v>
      </c>
      <c r="H52" s="376">
        <f t="shared" si="3"/>
        <v>30.733133669609078</v>
      </c>
      <c r="N52" s="9"/>
      <c r="O52" s="9"/>
      <c r="P52" s="9"/>
    </row>
    <row r="53" spans="1:16" x14ac:dyDescent="0.3">
      <c r="A53" t="s">
        <v>1035</v>
      </c>
      <c r="B53" t="s">
        <v>21</v>
      </c>
      <c r="C53" s="360">
        <f t="shared" si="0"/>
        <v>1336.2684986595175</v>
      </c>
      <c r="D53" s="376">
        <f t="shared" si="4"/>
        <v>1290.0578814627995</v>
      </c>
      <c r="E53" s="360">
        <f t="shared" si="1"/>
        <v>1343.7411528150133</v>
      </c>
      <c r="F53" s="376">
        <f t="shared" si="5"/>
        <v>1297.5160151324087</v>
      </c>
      <c r="G53" s="360">
        <f t="shared" si="2"/>
        <v>1261.9544235924934</v>
      </c>
      <c r="H53" s="376">
        <f t="shared" si="3"/>
        <v>1309.8343001261035</v>
      </c>
      <c r="N53" s="9"/>
      <c r="O53" s="9"/>
      <c r="P53" s="9"/>
    </row>
    <row r="54" spans="1:16" x14ac:dyDescent="0.3">
      <c r="A54" t="s">
        <v>1036</v>
      </c>
      <c r="B54" t="s">
        <v>413</v>
      </c>
      <c r="C54" s="365">
        <f t="shared" si="0"/>
        <v>1.8491839812332437E-2</v>
      </c>
      <c r="D54" s="540">
        <f t="shared" si="4"/>
        <v>1.85455157629256E-2</v>
      </c>
      <c r="E54" s="365">
        <f t="shared" si="1"/>
        <v>1.8491002680965148E-2</v>
      </c>
      <c r="F54" s="540">
        <f t="shared" si="5"/>
        <v>1.8544680958385875E-2</v>
      </c>
      <c r="G54" s="365">
        <f t="shared" si="2"/>
        <v>1.8254048927613939E-2</v>
      </c>
      <c r="H54" s="540">
        <f t="shared" si="3"/>
        <v>1.8542969735182852E-2</v>
      </c>
      <c r="N54" s="9"/>
      <c r="O54" s="9"/>
      <c r="P54" s="9"/>
    </row>
    <row r="56" spans="1:16" x14ac:dyDescent="0.3">
      <c r="B56" s="291" t="s">
        <v>125</v>
      </c>
      <c r="C56" s="229">
        <f>1/parameters!$E$6</f>
        <v>6.7024128686327078</v>
      </c>
      <c r="D56" s="229">
        <f>1/parameters!$E$9</f>
        <v>6.3051702395964693</v>
      </c>
      <c r="N56" s="9"/>
      <c r="O56" s="9"/>
      <c r="P56" s="9"/>
    </row>
  </sheetData>
  <mergeCells count="3">
    <mergeCell ref="B4:I5"/>
    <mergeCell ref="B2:I3"/>
    <mergeCell ref="B6:I7"/>
  </mergeCells>
  <conditionalFormatting sqref="Q18:T18">
    <cfRule type="colorScale" priority="2">
      <colorScale>
        <cfvo type="min"/>
        <cfvo type="percentile" val="50"/>
        <cfvo type="max"/>
        <color rgb="FF63BE7B"/>
        <color rgb="FFFFEB84"/>
        <color rgb="FFF8696B"/>
      </colorScale>
    </cfRule>
  </conditionalFormatting>
  <conditionalFormatting sqref="Q19:T19">
    <cfRule type="colorScale" priority="1">
      <colorScale>
        <cfvo type="min"/>
        <cfvo type="percentile" val="50"/>
        <cfvo type="max"/>
        <color rgb="FF63BE7B"/>
        <color rgb="FFFFEB84"/>
        <color rgb="FFF8696B"/>
      </colorScale>
    </cfRule>
  </conditionalFormatting>
  <conditionalFormatting sqref="R18:T18">
    <cfRule type="colorScale" priority="3">
      <colorScale>
        <cfvo type="min"/>
        <cfvo type="percentile" val="50"/>
        <cfvo type="max"/>
        <color rgb="FF63BE7B"/>
        <color rgb="FFFFEB84"/>
        <color rgb="FFF8696B"/>
      </colorScale>
    </cfRule>
  </conditionalFormatting>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6" tint="0.59999389629810485"/>
    <outlinePr summaryBelow="0"/>
  </sheetPr>
  <dimension ref="A1:V63"/>
  <sheetViews>
    <sheetView zoomScale="60" zoomScaleNormal="60" workbookViewId="0">
      <selection activeCell="A2" sqref="A2"/>
    </sheetView>
  </sheetViews>
  <sheetFormatPr defaultRowHeight="14.4" outlineLevelRow="1" x14ac:dyDescent="0.3"/>
  <cols>
    <col min="1" max="1" width="35.5546875" bestFit="1" customWidth="1"/>
    <col min="2" max="2" width="12.109375" customWidth="1"/>
    <col min="3" max="3" width="14.33203125" style="218" customWidth="1"/>
    <col min="4" max="22" width="13.88671875" style="218" customWidth="1"/>
  </cols>
  <sheetData>
    <row r="1" spans="1:22" x14ac:dyDescent="0.3">
      <c r="A1" t="s">
        <v>678</v>
      </c>
      <c r="B1" t="s">
        <v>1180</v>
      </c>
    </row>
    <row r="2" spans="1:22" x14ac:dyDescent="0.3">
      <c r="A2" t="s">
        <v>389</v>
      </c>
      <c r="B2" t="s">
        <v>1023</v>
      </c>
    </row>
    <row r="3" spans="1:22" x14ac:dyDescent="0.3">
      <c r="A3" t="s">
        <v>391</v>
      </c>
      <c r="B3" t="s">
        <v>392</v>
      </c>
    </row>
    <row r="4" spans="1:22" x14ac:dyDescent="0.3">
      <c r="A4" t="s">
        <v>393</v>
      </c>
      <c r="B4" t="s">
        <v>394</v>
      </c>
    </row>
    <row r="6" spans="1:22" s="384" customFormat="1" ht="22.95" customHeight="1" x14ac:dyDescent="0.3">
      <c r="A6" s="383" t="s">
        <v>871</v>
      </c>
      <c r="C6" s="385"/>
      <c r="D6" s="385"/>
      <c r="E6" s="385"/>
      <c r="F6" s="385"/>
      <c r="G6" s="385"/>
      <c r="H6" s="385"/>
      <c r="I6" s="385"/>
      <c r="J6" s="385"/>
      <c r="K6" s="385"/>
      <c r="L6" s="385"/>
      <c r="M6" s="385"/>
      <c r="N6" s="385"/>
      <c r="O6" s="385"/>
      <c r="P6" s="385"/>
      <c r="Q6" s="385"/>
      <c r="R6" s="385"/>
      <c r="S6" s="385"/>
      <c r="T6" s="385"/>
      <c r="U6" s="385"/>
      <c r="V6" s="385"/>
    </row>
    <row r="7" spans="1:22" s="371" customFormat="1" ht="115.2" outlineLevel="1" x14ac:dyDescent="0.3">
      <c r="A7" s="371" t="s">
        <v>395</v>
      </c>
      <c r="B7" s="371" t="s">
        <v>396</v>
      </c>
      <c r="C7" s="246" t="s">
        <v>867</v>
      </c>
      <c r="D7" s="246" t="s">
        <v>868</v>
      </c>
      <c r="E7" s="246" t="s">
        <v>506</v>
      </c>
      <c r="F7" s="246" t="s">
        <v>685</v>
      </c>
      <c r="G7" s="246" t="s">
        <v>686</v>
      </c>
      <c r="H7" s="246" t="s">
        <v>687</v>
      </c>
      <c r="I7" s="246" t="s">
        <v>688</v>
      </c>
      <c r="J7" s="246" t="s">
        <v>689</v>
      </c>
      <c r="K7" s="246" t="s">
        <v>690</v>
      </c>
      <c r="L7" s="246" t="s">
        <v>691</v>
      </c>
      <c r="M7" s="246" t="s">
        <v>692</v>
      </c>
      <c r="N7" s="246" t="s">
        <v>693</v>
      </c>
      <c r="O7" s="246" t="s">
        <v>694</v>
      </c>
      <c r="P7" s="246" t="s">
        <v>695</v>
      </c>
      <c r="Q7" s="246" t="s">
        <v>685</v>
      </c>
      <c r="R7" s="246" t="s">
        <v>696</v>
      </c>
      <c r="S7" s="246" t="s">
        <v>436</v>
      </c>
      <c r="T7" s="246" t="s">
        <v>697</v>
      </c>
      <c r="U7" s="246" t="s">
        <v>507</v>
      </c>
      <c r="V7" s="246" t="s">
        <v>698</v>
      </c>
    </row>
    <row r="8" spans="1:22" outlineLevel="1" x14ac:dyDescent="0.3">
      <c r="A8" t="s">
        <v>397</v>
      </c>
      <c r="B8" t="s">
        <v>398</v>
      </c>
      <c r="C8" s="245">
        <v>16.237819999999999</v>
      </c>
      <c r="D8" s="10">
        <v>10.543411000000001</v>
      </c>
      <c r="E8" s="10">
        <v>1.1672530999999999</v>
      </c>
      <c r="F8" s="10">
        <v>1.7910221</v>
      </c>
      <c r="G8" s="10">
        <v>0.12912714</v>
      </c>
      <c r="H8" s="10">
        <v>1.0082522E-2</v>
      </c>
      <c r="I8" s="10">
        <v>5.480894E-3</v>
      </c>
      <c r="J8" s="10">
        <v>1.3158494999999999E-2</v>
      </c>
      <c r="K8" s="10">
        <v>2.3874450000000002E-3</v>
      </c>
      <c r="L8" s="10">
        <v>2.6203632999999998E-3</v>
      </c>
      <c r="M8" s="10">
        <v>2.5826983999999999E-4</v>
      </c>
      <c r="N8" s="10">
        <v>1.6751102999999999E-3</v>
      </c>
      <c r="O8" s="10">
        <v>4.5438367E-2</v>
      </c>
      <c r="P8" s="10">
        <v>2.3658853E-5</v>
      </c>
      <c r="Q8" s="10">
        <v>1.6041401E-2</v>
      </c>
      <c r="R8" s="10">
        <v>7.9824226000000005E-4</v>
      </c>
      <c r="S8" s="10">
        <v>1.9956415000000001</v>
      </c>
      <c r="T8" s="10">
        <v>0.33418284999999998</v>
      </c>
      <c r="U8" s="10">
        <v>0.178923</v>
      </c>
      <c r="V8" s="10">
        <v>2.9470735999999998E-4</v>
      </c>
    </row>
    <row r="9" spans="1:22" outlineLevel="1" x14ac:dyDescent="0.3">
      <c r="A9" t="s">
        <v>399</v>
      </c>
      <c r="B9" t="s">
        <v>400</v>
      </c>
      <c r="C9" s="245">
        <v>1.2524025E-6</v>
      </c>
      <c r="D9" s="10">
        <v>8.8837026000000005E-7</v>
      </c>
      <c r="E9" s="10">
        <v>6.3881490000000005E-8</v>
      </c>
      <c r="F9" s="10">
        <v>7.0956642000000003E-8</v>
      </c>
      <c r="G9" s="10">
        <v>7.9481826999999998E-9</v>
      </c>
      <c r="H9" s="10">
        <v>2.7271186E-10</v>
      </c>
      <c r="I9" s="10">
        <v>4.9425293000000005E-10</v>
      </c>
      <c r="J9" s="10">
        <v>7.5486889999999996E-10</v>
      </c>
      <c r="K9" s="10">
        <v>1.4824534E-10</v>
      </c>
      <c r="L9" s="10">
        <v>1.5298654E-10</v>
      </c>
      <c r="M9" s="10">
        <v>1.5499393E-11</v>
      </c>
      <c r="N9" s="10">
        <v>3.0993414000000001E-11</v>
      </c>
      <c r="O9" s="10">
        <v>1.0679075999999999E-9</v>
      </c>
      <c r="P9" s="10">
        <v>1.5396627999999999E-12</v>
      </c>
      <c r="Q9" s="10">
        <v>6.3552760000000004E-10</v>
      </c>
      <c r="R9" s="10">
        <v>4.0617001999999999E-11</v>
      </c>
      <c r="S9" s="10">
        <v>1.6916136E-7</v>
      </c>
      <c r="T9" s="10">
        <v>2.3779987000000001E-8</v>
      </c>
      <c r="U9" s="10">
        <v>2.4687604999999999E-8</v>
      </c>
      <c r="V9" s="10">
        <v>1.8587756999999998E-12</v>
      </c>
    </row>
    <row r="10" spans="1:22" outlineLevel="1" x14ac:dyDescent="0.3">
      <c r="A10" t="s">
        <v>1024</v>
      </c>
      <c r="B10" t="s">
        <v>401</v>
      </c>
      <c r="C10" s="245">
        <v>0.41200434000000002</v>
      </c>
      <c r="D10" s="10">
        <v>0.22514112999999999</v>
      </c>
      <c r="E10" s="10">
        <v>3.6105195E-2</v>
      </c>
      <c r="F10" s="10">
        <v>2.5901674999999999E-2</v>
      </c>
      <c r="G10" s="10">
        <v>7.0219619999999996E-3</v>
      </c>
      <c r="H10" s="10">
        <v>1.4731077000000001E-4</v>
      </c>
      <c r="I10" s="10">
        <v>3.4807225999999999E-4</v>
      </c>
      <c r="J10" s="10">
        <v>2.7678350999999998E-4</v>
      </c>
      <c r="K10" s="10">
        <v>8.4665048999999997E-5</v>
      </c>
      <c r="L10" s="10">
        <v>8.0723774000000003E-5</v>
      </c>
      <c r="M10" s="10">
        <v>1.0980959999999999E-5</v>
      </c>
      <c r="N10" s="10">
        <v>2.0015367000000001E-5</v>
      </c>
      <c r="O10" s="10">
        <v>1.084427E-3</v>
      </c>
      <c r="P10" s="10">
        <v>1.6240370999999999E-6</v>
      </c>
      <c r="Q10" s="10">
        <v>2.3198996999999999E-4</v>
      </c>
      <c r="R10" s="10">
        <v>3.0098835999999999E-5</v>
      </c>
      <c r="S10" s="10">
        <v>9.1164848000000007E-2</v>
      </c>
      <c r="T10" s="10">
        <v>1.6085921999999999E-2</v>
      </c>
      <c r="U10" s="10">
        <v>8.2652561999999995E-3</v>
      </c>
      <c r="V10" s="10">
        <v>1.6690745000000001E-6</v>
      </c>
    </row>
    <row r="11" spans="1:22" outlineLevel="1" x14ac:dyDescent="0.3">
      <c r="A11" t="s">
        <v>1025</v>
      </c>
      <c r="B11" t="s">
        <v>402</v>
      </c>
      <c r="C11" s="245">
        <v>8.9289588000000003E-2</v>
      </c>
      <c r="D11" s="10">
        <v>6.4537567000000004E-2</v>
      </c>
      <c r="E11" s="10">
        <v>5.8084685000000004E-3</v>
      </c>
      <c r="F11" s="10">
        <v>5.7818838999999997E-3</v>
      </c>
      <c r="G11" s="10">
        <v>3.0374945000000001E-4</v>
      </c>
      <c r="H11" s="10">
        <v>3.5172902000000002E-5</v>
      </c>
      <c r="I11" s="10">
        <v>1.4806646000000001E-5</v>
      </c>
      <c r="J11" s="10">
        <v>6.5261185000000004E-5</v>
      </c>
      <c r="K11" s="10">
        <v>9.7518723000000005E-6</v>
      </c>
      <c r="L11" s="10">
        <v>5.6149264999999999E-5</v>
      </c>
      <c r="M11" s="10">
        <v>2.8676874000000001E-6</v>
      </c>
      <c r="N11" s="10">
        <v>4.0558589E-6</v>
      </c>
      <c r="O11" s="10">
        <v>1.4361826E-4</v>
      </c>
      <c r="P11" s="10">
        <v>7.1014278000000006E-8</v>
      </c>
      <c r="Q11" s="10">
        <v>5.1785803999999999E-5</v>
      </c>
      <c r="R11" s="10">
        <v>2.6999610999999999E-6</v>
      </c>
      <c r="S11" s="10">
        <v>9.1228440999999993E-3</v>
      </c>
      <c r="T11" s="10">
        <v>2.2272250000000002E-3</v>
      </c>
      <c r="U11" s="10">
        <v>1.1207081E-3</v>
      </c>
      <c r="V11" s="10">
        <v>9.0186831999999996E-7</v>
      </c>
    </row>
    <row r="12" spans="1:22" outlineLevel="1" x14ac:dyDescent="0.3">
      <c r="A12" t="s">
        <v>1026</v>
      </c>
      <c r="B12" t="s">
        <v>403</v>
      </c>
      <c r="C12" s="245">
        <v>4.2277412999999997E-6</v>
      </c>
      <c r="D12" s="10">
        <v>3.8337902999999996E-6</v>
      </c>
      <c r="E12" s="10">
        <v>8.4777803999999997E-8</v>
      </c>
      <c r="F12" s="10">
        <v>1.3679076E-7</v>
      </c>
      <c r="G12" s="10">
        <v>5.7584022000000002E-9</v>
      </c>
      <c r="H12" s="10">
        <v>3.4336691000000001E-10</v>
      </c>
      <c r="I12" s="10">
        <v>1.8638572E-10</v>
      </c>
      <c r="J12" s="10">
        <v>1.1162883E-9</v>
      </c>
      <c r="K12" s="10">
        <v>1.341209E-10</v>
      </c>
      <c r="L12" s="10">
        <v>6.4615268999999998E-10</v>
      </c>
      <c r="M12" s="10">
        <v>3.3511582999999999E-11</v>
      </c>
      <c r="N12" s="10">
        <v>7.7331171000000003E-11</v>
      </c>
      <c r="O12" s="10">
        <v>1.5408460999999999E-9</v>
      </c>
      <c r="P12" s="10">
        <v>1.2042312000000001E-12</v>
      </c>
      <c r="Q12" s="10">
        <v>1.225175E-9</v>
      </c>
      <c r="R12" s="10">
        <v>3.5043037999999999E-11</v>
      </c>
      <c r="S12" s="10">
        <v>1.1690367000000001E-7</v>
      </c>
      <c r="T12" s="10">
        <v>2.2167880999999999E-8</v>
      </c>
      <c r="U12" s="10">
        <v>2.2192135000000001E-8</v>
      </c>
      <c r="V12" s="10">
        <v>2.0872485000000001E-11</v>
      </c>
    </row>
    <row r="13" spans="1:22" outlineLevel="1" x14ac:dyDescent="0.3">
      <c r="A13" t="s">
        <v>1027</v>
      </c>
      <c r="B13" t="s">
        <v>404</v>
      </c>
      <c r="C13" s="245">
        <v>1.2807828E-6</v>
      </c>
      <c r="D13" s="10">
        <v>1.0114592E-6</v>
      </c>
      <c r="E13" s="10">
        <v>5.8894236999999997E-8</v>
      </c>
      <c r="F13" s="10">
        <v>4.7055186999999997E-8</v>
      </c>
      <c r="G13" s="10">
        <v>1.8400585999999999E-9</v>
      </c>
      <c r="H13" s="10">
        <v>7.2676850999999999E-11</v>
      </c>
      <c r="I13" s="10">
        <v>4.8160906999999998E-11</v>
      </c>
      <c r="J13" s="10">
        <v>7.0855841999999997E-10</v>
      </c>
      <c r="K13" s="10">
        <v>4.7488582999999998E-11</v>
      </c>
      <c r="L13" s="10">
        <v>3.4584364E-9</v>
      </c>
      <c r="M13" s="10">
        <v>1.3855199999999999E-10</v>
      </c>
      <c r="N13" s="10">
        <v>4.8372030999999998E-12</v>
      </c>
      <c r="O13" s="10">
        <v>4.7270596999999995E-10</v>
      </c>
      <c r="P13" s="10">
        <v>9.6265790000000006E-13</v>
      </c>
      <c r="Q13" s="10">
        <v>4.2145272E-10</v>
      </c>
      <c r="R13" s="10">
        <v>1.0077472E-11</v>
      </c>
      <c r="S13" s="10">
        <v>1.3543614E-7</v>
      </c>
      <c r="T13" s="10">
        <v>1.6415425000000002E-8</v>
      </c>
      <c r="U13" s="10">
        <v>4.2956652E-9</v>
      </c>
      <c r="V13" s="10">
        <v>2.9182419000000002E-12</v>
      </c>
    </row>
    <row r="14" spans="1:22" outlineLevel="1" x14ac:dyDescent="0.3">
      <c r="A14" t="s">
        <v>1028</v>
      </c>
      <c r="B14" t="s">
        <v>404</v>
      </c>
      <c r="C14" s="245">
        <v>2.4098294E-8</v>
      </c>
      <c r="D14" s="10">
        <v>1.5888140000000001E-8</v>
      </c>
      <c r="E14" s="10">
        <v>1.5784102E-9</v>
      </c>
      <c r="F14" s="10">
        <v>2.5264409000000001E-9</v>
      </c>
      <c r="G14" s="10">
        <v>1.2195235E-10</v>
      </c>
      <c r="H14" s="10">
        <v>2.8252694999999998E-12</v>
      </c>
      <c r="I14" s="10">
        <v>1.8678711E-12</v>
      </c>
      <c r="J14" s="10">
        <v>7.6929027E-11</v>
      </c>
      <c r="K14" s="10">
        <v>8.3103634999999997E-12</v>
      </c>
      <c r="L14" s="10">
        <v>4.0408636E-11</v>
      </c>
      <c r="M14" s="10">
        <v>1.6884673E-12</v>
      </c>
      <c r="N14" s="10">
        <v>2.8206036999999998E-13</v>
      </c>
      <c r="O14" s="10">
        <v>1.5019469000000001E-11</v>
      </c>
      <c r="P14" s="10">
        <v>4.4916082999999998E-14</v>
      </c>
      <c r="Q14" s="10">
        <v>2.2628226000000001E-11</v>
      </c>
      <c r="R14" s="10">
        <v>4.4283521999999999E-13</v>
      </c>
      <c r="S14" s="10">
        <v>3.1612674000000002E-9</v>
      </c>
      <c r="T14" s="10">
        <v>3.3341633000000001E-10</v>
      </c>
      <c r="U14" s="10">
        <v>3.1815996999999999E-10</v>
      </c>
      <c r="V14" s="10">
        <v>5.9492385999999994E-14</v>
      </c>
    </row>
    <row r="15" spans="1:22" outlineLevel="1" x14ac:dyDescent="0.3">
      <c r="A15" t="s">
        <v>1029</v>
      </c>
      <c r="B15" t="s">
        <v>405</v>
      </c>
      <c r="C15" s="245">
        <v>0.40241209</v>
      </c>
      <c r="D15" s="10">
        <v>0.35301188999999999</v>
      </c>
      <c r="E15" s="10">
        <v>1.1435733E-2</v>
      </c>
      <c r="F15" s="10">
        <v>1.1872552999999999E-2</v>
      </c>
      <c r="G15" s="10">
        <v>5.5525479999999998E-4</v>
      </c>
      <c r="H15" s="10">
        <v>4.1098476999999997E-5</v>
      </c>
      <c r="I15" s="10">
        <v>2.6238902999999999E-5</v>
      </c>
      <c r="J15" s="10">
        <v>6.1362136999999994E-5</v>
      </c>
      <c r="K15" s="10">
        <v>1.1428981E-5</v>
      </c>
      <c r="L15" s="10">
        <v>3.0150762999999999E-4</v>
      </c>
      <c r="M15" s="10">
        <v>1.2736713999999999E-5</v>
      </c>
      <c r="N15" s="10">
        <v>7.0576490999999998E-6</v>
      </c>
      <c r="O15" s="10">
        <v>2.0040233000000001E-4</v>
      </c>
      <c r="P15" s="10">
        <v>1.2107774E-7</v>
      </c>
      <c r="Q15" s="10">
        <v>1.0633726E-4</v>
      </c>
      <c r="R15" s="10">
        <v>3.941081E-6</v>
      </c>
      <c r="S15" s="10">
        <v>1.9285024000000001E-2</v>
      </c>
      <c r="T15" s="10">
        <v>3.7175810999999998E-3</v>
      </c>
      <c r="U15" s="10">
        <v>1.7602908999999999E-3</v>
      </c>
      <c r="V15" s="10">
        <v>1.5289479999999999E-6</v>
      </c>
    </row>
    <row r="16" spans="1:22" outlineLevel="1" x14ac:dyDescent="0.3">
      <c r="A16" t="s">
        <v>1030</v>
      </c>
      <c r="B16" t="s">
        <v>406</v>
      </c>
      <c r="C16" s="245">
        <v>1.500407E-3</v>
      </c>
      <c r="D16" s="10">
        <v>8.3984331000000001E-4</v>
      </c>
      <c r="E16" s="10">
        <v>1.3060624999999999E-4</v>
      </c>
      <c r="F16" s="10">
        <v>6.1328703000000003E-5</v>
      </c>
      <c r="G16" s="10">
        <v>7.3943296000000003E-6</v>
      </c>
      <c r="H16" s="10">
        <v>2.0705933999999999E-7</v>
      </c>
      <c r="I16" s="10">
        <v>2.7212404000000002E-7</v>
      </c>
      <c r="J16" s="10">
        <v>6.3514842999999999E-7</v>
      </c>
      <c r="K16" s="10">
        <v>1.0574249E-7</v>
      </c>
      <c r="L16" s="10">
        <v>2.4008962999999999E-6</v>
      </c>
      <c r="M16" s="10">
        <v>1.0221368E-7</v>
      </c>
      <c r="N16" s="10">
        <v>1.9346021E-8</v>
      </c>
      <c r="O16" s="10">
        <v>1.434238E-6</v>
      </c>
      <c r="P16" s="10">
        <v>1.4379517999999999E-9</v>
      </c>
      <c r="Q16" s="10">
        <v>5.4929435999999995E-7</v>
      </c>
      <c r="R16" s="10">
        <v>3.3667803000000001E-8</v>
      </c>
      <c r="S16" s="10">
        <v>3.891508E-4</v>
      </c>
      <c r="T16" s="10">
        <v>6.1374427E-5</v>
      </c>
      <c r="U16" s="10">
        <v>4.9417887999999999E-6</v>
      </c>
      <c r="V16" s="10">
        <v>6.1969416999999996E-9</v>
      </c>
    </row>
    <row r="17" spans="1:22" outlineLevel="1" x14ac:dyDescent="0.3">
      <c r="A17" t="s">
        <v>1031</v>
      </c>
      <c r="B17" t="s">
        <v>407</v>
      </c>
      <c r="C17" s="245">
        <v>2.2903634999999999E-2</v>
      </c>
      <c r="D17" s="10">
        <v>1.5737853999999999E-2</v>
      </c>
      <c r="E17" s="10">
        <v>1.5708066999999999E-3</v>
      </c>
      <c r="F17" s="10">
        <v>1.7671948E-3</v>
      </c>
      <c r="G17" s="10">
        <v>1.2931472E-4</v>
      </c>
      <c r="H17" s="10">
        <v>7.5662721999999998E-6</v>
      </c>
      <c r="I17" s="10">
        <v>4.3174843E-6</v>
      </c>
      <c r="J17" s="10">
        <v>1.2772283E-5</v>
      </c>
      <c r="K17" s="10">
        <v>2.1914300999999998E-6</v>
      </c>
      <c r="L17" s="10">
        <v>1.3887628000000001E-5</v>
      </c>
      <c r="M17" s="10">
        <v>6.6928626000000002E-7</v>
      </c>
      <c r="N17" s="10">
        <v>2.1959426E-6</v>
      </c>
      <c r="O17" s="10">
        <v>3.5193837999999999E-5</v>
      </c>
      <c r="P17" s="10">
        <v>2.043783E-8</v>
      </c>
      <c r="Q17" s="10">
        <v>1.5827990000000001E-5</v>
      </c>
      <c r="R17" s="10">
        <v>6.5768017000000003E-7</v>
      </c>
      <c r="S17" s="10">
        <v>2.7444750000000001E-3</v>
      </c>
      <c r="T17" s="10">
        <v>5.5915081000000003E-4</v>
      </c>
      <c r="U17" s="10">
        <v>2.9922173000000002E-4</v>
      </c>
      <c r="V17" s="10">
        <v>3.1645877E-7</v>
      </c>
    </row>
    <row r="18" spans="1:22" outlineLevel="1" x14ac:dyDescent="0.3">
      <c r="A18" t="s">
        <v>1032</v>
      </c>
      <c r="B18" t="s">
        <v>408</v>
      </c>
      <c r="C18" s="245">
        <v>0.30151023999999998</v>
      </c>
      <c r="D18" s="10">
        <v>0.21449798</v>
      </c>
      <c r="E18" s="10">
        <v>1.863132E-2</v>
      </c>
      <c r="F18" s="10">
        <v>1.9709207999999999E-2</v>
      </c>
      <c r="G18" s="10">
        <v>1.1646486000000001E-3</v>
      </c>
      <c r="H18" s="10">
        <v>8.4249446000000006E-5</v>
      </c>
      <c r="I18" s="10">
        <v>4.9456266999999999E-5</v>
      </c>
      <c r="J18" s="10">
        <v>1.3892264999999999E-4</v>
      </c>
      <c r="K18" s="10">
        <v>2.4377631999999999E-5</v>
      </c>
      <c r="L18" s="10">
        <v>2.1072254999999999E-4</v>
      </c>
      <c r="M18" s="10">
        <v>9.6516435999999998E-6</v>
      </c>
      <c r="N18" s="10">
        <v>1.1959929999999999E-5</v>
      </c>
      <c r="O18" s="10">
        <v>3.9752187000000001E-4</v>
      </c>
      <c r="P18" s="10">
        <v>2.2880553000000001E-7</v>
      </c>
      <c r="Q18" s="10">
        <v>1.7652675E-4</v>
      </c>
      <c r="R18" s="10">
        <v>7.3492115999999996E-6</v>
      </c>
      <c r="S18" s="10">
        <v>3.3336840999999999E-2</v>
      </c>
      <c r="T18" s="10">
        <v>6.7868047000000003E-3</v>
      </c>
      <c r="U18" s="10">
        <v>6.2689920999999997E-3</v>
      </c>
      <c r="V18" s="10">
        <v>3.4816843999999998E-6</v>
      </c>
    </row>
    <row r="19" spans="1:22" outlineLevel="1" x14ac:dyDescent="0.3">
      <c r="A19" t="s">
        <v>1033</v>
      </c>
      <c r="B19" t="s">
        <v>409</v>
      </c>
      <c r="C19" s="245">
        <v>1630.5561</v>
      </c>
      <c r="D19" s="10">
        <v>1190.9296999999999</v>
      </c>
      <c r="E19" s="10">
        <v>105.76411</v>
      </c>
      <c r="F19" s="10">
        <v>48.128794999999997</v>
      </c>
      <c r="G19" s="10">
        <v>11.551582</v>
      </c>
      <c r="H19" s="10">
        <v>0.11056236</v>
      </c>
      <c r="I19" s="10">
        <v>9.3100348999999999E-2</v>
      </c>
      <c r="J19" s="10">
        <v>0.43185962</v>
      </c>
      <c r="K19" s="10">
        <v>5.7511242999999997E-2</v>
      </c>
      <c r="L19" s="10">
        <v>2.9059957999999999</v>
      </c>
      <c r="M19" s="10">
        <v>0.12251267</v>
      </c>
      <c r="N19" s="10">
        <v>6.1615864000000003E-3</v>
      </c>
      <c r="O19" s="10">
        <v>0.68021622000000004</v>
      </c>
      <c r="P19" s="10">
        <v>4.8182746E-4</v>
      </c>
      <c r="Q19" s="10">
        <v>0.43106854999999999</v>
      </c>
      <c r="R19" s="10">
        <v>1.9493180999999998E-2</v>
      </c>
      <c r="S19" s="10">
        <v>218.02886000000001</v>
      </c>
      <c r="T19" s="10">
        <v>46.596459000000003</v>
      </c>
      <c r="U19" s="10">
        <v>4.6902685999999996</v>
      </c>
      <c r="V19" s="10">
        <v>7.4473261000000002E-3</v>
      </c>
    </row>
    <row r="20" spans="1:22" outlineLevel="1" x14ac:dyDescent="0.3">
      <c r="A20" t="s">
        <v>410</v>
      </c>
      <c r="B20" t="s">
        <v>411</v>
      </c>
      <c r="C20" s="245">
        <v>88.793527999999995</v>
      </c>
      <c r="D20" s="10">
        <v>41.071021999999999</v>
      </c>
      <c r="E20" s="10">
        <v>6.3608174000000002</v>
      </c>
      <c r="F20" s="10">
        <v>3.3079646999999999</v>
      </c>
      <c r="G20" s="10">
        <v>1.0675007000000001</v>
      </c>
      <c r="H20" s="10">
        <v>1.4878333000000001E-2</v>
      </c>
      <c r="I20" s="10">
        <v>3.9230531999999999E-2</v>
      </c>
      <c r="J20" s="10">
        <v>4.1570582000000002E-2</v>
      </c>
      <c r="K20" s="10">
        <v>7.3958373999999999E-3</v>
      </c>
      <c r="L20" s="10">
        <v>3.9937699E-2</v>
      </c>
      <c r="M20" s="10">
        <v>2.2600390000000001E-3</v>
      </c>
      <c r="N20" s="10">
        <v>2.1266174000000001E-3</v>
      </c>
      <c r="O20" s="10">
        <v>9.1101838000000004E-2</v>
      </c>
      <c r="P20" s="10">
        <v>7.0489931000000002E-5</v>
      </c>
      <c r="Q20" s="10">
        <v>2.9627991999999999E-2</v>
      </c>
      <c r="R20" s="10">
        <v>1.5614037000000001E-3</v>
      </c>
      <c r="S20" s="10">
        <v>16.094764999999999</v>
      </c>
      <c r="T20" s="10">
        <v>2.8940201000000001</v>
      </c>
      <c r="U20" s="10">
        <v>17.727117</v>
      </c>
      <c r="V20" s="10">
        <v>5.5965940000000003E-4</v>
      </c>
    </row>
    <row r="21" spans="1:22" outlineLevel="1" x14ac:dyDescent="0.3">
      <c r="A21" t="s">
        <v>1034</v>
      </c>
      <c r="B21" t="s">
        <v>412</v>
      </c>
      <c r="C21" s="245">
        <v>4.6632005000000003</v>
      </c>
      <c r="D21" s="10">
        <v>3.4397449</v>
      </c>
      <c r="E21" s="10">
        <v>0.25713374999999999</v>
      </c>
      <c r="F21" s="10">
        <v>0.25060038000000001</v>
      </c>
      <c r="G21" s="10">
        <v>2.5630752E-2</v>
      </c>
      <c r="H21" s="10">
        <v>4.5277221999999997E-3</v>
      </c>
      <c r="I21" s="10">
        <v>1.7121955999999999E-3</v>
      </c>
      <c r="J21" s="10">
        <v>4.0315623000000004E-3</v>
      </c>
      <c r="K21" s="10">
        <v>1.7848699E-3</v>
      </c>
      <c r="L21" s="10">
        <v>2.1742536999999999E-3</v>
      </c>
      <c r="M21" s="10">
        <v>2.6294158E-4</v>
      </c>
      <c r="N21" s="10">
        <v>1.5936991999999999E-3</v>
      </c>
      <c r="O21" s="10">
        <v>2.1995424E-2</v>
      </c>
      <c r="P21" s="10">
        <v>9.2445840999999995E-4</v>
      </c>
      <c r="Q21" s="10">
        <v>2.244518E-3</v>
      </c>
      <c r="R21" s="10">
        <v>1.6888147E-4</v>
      </c>
      <c r="S21" s="10">
        <v>0.50801370000000001</v>
      </c>
      <c r="T21" s="10">
        <v>9.4220003999999996E-2</v>
      </c>
      <c r="U21" s="10">
        <v>4.6406314999999997E-2</v>
      </c>
      <c r="V21" s="10">
        <v>3.0147429000000001E-5</v>
      </c>
    </row>
    <row r="22" spans="1:22" outlineLevel="1" x14ac:dyDescent="0.3">
      <c r="A22" t="s">
        <v>1035</v>
      </c>
      <c r="B22" t="s">
        <v>21</v>
      </c>
      <c r="C22" s="245">
        <v>181.65626</v>
      </c>
      <c r="D22" s="10">
        <v>117.45390999999999</v>
      </c>
      <c r="E22" s="10">
        <v>13.019386000000001</v>
      </c>
      <c r="F22" s="10">
        <v>16.940823000000002</v>
      </c>
      <c r="G22" s="10">
        <v>1.5181157999999999</v>
      </c>
      <c r="H22" s="10">
        <v>0.30965905999999999</v>
      </c>
      <c r="I22" s="10">
        <v>8.6358537999999999E-2</v>
      </c>
      <c r="J22" s="10">
        <v>0.13987215</v>
      </c>
      <c r="K22" s="10">
        <v>2.9266078000000001E-2</v>
      </c>
      <c r="L22" s="10">
        <v>2.7557361999999998E-2</v>
      </c>
      <c r="M22" s="10">
        <v>3.0526238999999998E-3</v>
      </c>
      <c r="N22" s="10">
        <v>2.4044109000000001E-2</v>
      </c>
      <c r="O22" s="10">
        <v>1.0671885000000001</v>
      </c>
      <c r="P22" s="10">
        <v>3.1278358999999999E-4</v>
      </c>
      <c r="Q22" s="10">
        <v>0.15173154</v>
      </c>
      <c r="R22" s="10">
        <v>9.7492093000000005E-3</v>
      </c>
      <c r="S22" s="10">
        <v>24.144663000000001</v>
      </c>
      <c r="T22" s="10">
        <v>4.2854654999999999</v>
      </c>
      <c r="U22" s="10">
        <v>2.4425119999999998</v>
      </c>
      <c r="V22" s="10">
        <v>2.5978716000000001E-3</v>
      </c>
    </row>
    <row r="23" spans="1:22" outlineLevel="1" x14ac:dyDescent="0.3">
      <c r="A23" t="s">
        <v>1036</v>
      </c>
      <c r="B23" t="s">
        <v>413</v>
      </c>
      <c r="C23" s="245">
        <v>2.6896984000000001E-3</v>
      </c>
      <c r="D23" s="10">
        <v>8.1403542000000001E-4</v>
      </c>
      <c r="E23" s="10">
        <v>4.3055903E-4</v>
      </c>
      <c r="F23" s="10">
        <v>6.3196531000000004E-6</v>
      </c>
      <c r="G23" s="10">
        <v>5.5929138000000004E-6</v>
      </c>
      <c r="H23" s="10">
        <v>9.3825685999999995E-8</v>
      </c>
      <c r="I23" s="10">
        <v>3.9007411999999999E-8</v>
      </c>
      <c r="J23" s="10">
        <v>1.1267691E-7</v>
      </c>
      <c r="K23" s="10">
        <v>2.1259367E-8</v>
      </c>
      <c r="L23" s="10">
        <v>1.719828E-6</v>
      </c>
      <c r="M23" s="10">
        <v>6.8636291000000003E-8</v>
      </c>
      <c r="N23" s="10">
        <v>3.1112747E-9</v>
      </c>
      <c r="O23" s="10">
        <v>6.9934913000000005E-7</v>
      </c>
      <c r="P23" s="10">
        <v>6.9593537999999997E-10</v>
      </c>
      <c r="Q23" s="10">
        <v>5.6602367999999998E-8</v>
      </c>
      <c r="R23" s="10">
        <v>2.1614564000000002E-9</v>
      </c>
      <c r="S23" s="10">
        <v>1.0490638999999999E-3</v>
      </c>
      <c r="T23" s="10">
        <v>2.6433384000000001E-4</v>
      </c>
      <c r="U23" s="10">
        <v>1.1697609000000001E-4</v>
      </c>
      <c r="V23" s="10">
        <v>3.8332791E-10</v>
      </c>
    </row>
    <row r="26" spans="1:22" s="389" customFormat="1" ht="22.95" customHeight="1" x14ac:dyDescent="0.3">
      <c r="A26" s="388" t="s">
        <v>872</v>
      </c>
      <c r="C26" s="390"/>
      <c r="D26" s="390"/>
      <c r="E26" s="390"/>
      <c r="F26" s="390"/>
      <c r="G26" s="390"/>
      <c r="H26" s="390"/>
      <c r="I26" s="390"/>
      <c r="J26" s="390"/>
      <c r="K26" s="390"/>
      <c r="L26" s="390"/>
      <c r="M26" s="390"/>
      <c r="N26" s="390"/>
      <c r="O26" s="390"/>
      <c r="P26" s="390"/>
      <c r="Q26" s="390"/>
      <c r="R26" s="390"/>
      <c r="S26" s="390"/>
      <c r="T26" s="390"/>
      <c r="U26" s="390"/>
      <c r="V26" s="390"/>
    </row>
    <row r="27" spans="1:22" s="371" customFormat="1" ht="115.2" outlineLevel="1" x14ac:dyDescent="0.3">
      <c r="A27" s="371" t="s">
        <v>395</v>
      </c>
      <c r="B27" s="371" t="s">
        <v>396</v>
      </c>
      <c r="C27" s="246" t="s">
        <v>867</v>
      </c>
      <c r="D27" s="246" t="s">
        <v>868</v>
      </c>
      <c r="E27" s="246" t="s">
        <v>506</v>
      </c>
      <c r="F27" s="246" t="s">
        <v>685</v>
      </c>
      <c r="G27" s="246" t="s">
        <v>686</v>
      </c>
      <c r="H27" s="246" t="s">
        <v>687</v>
      </c>
      <c r="I27" s="246" t="s">
        <v>688</v>
      </c>
      <c r="J27" s="246" t="s">
        <v>689</v>
      </c>
      <c r="K27" s="246" t="s">
        <v>690</v>
      </c>
      <c r="L27" s="246" t="s">
        <v>691</v>
      </c>
      <c r="M27" s="246" t="s">
        <v>692</v>
      </c>
      <c r="N27" s="246" t="s">
        <v>693</v>
      </c>
      <c r="O27" s="246" t="s">
        <v>694</v>
      </c>
      <c r="P27" s="246" t="s">
        <v>695</v>
      </c>
      <c r="Q27" s="246" t="s">
        <v>685</v>
      </c>
      <c r="R27" s="246" t="s">
        <v>696</v>
      </c>
      <c r="S27" s="246" t="s">
        <v>436</v>
      </c>
      <c r="T27" s="246" t="s">
        <v>697</v>
      </c>
      <c r="U27" s="246" t="s">
        <v>507</v>
      </c>
      <c r="V27" s="246" t="s">
        <v>698</v>
      </c>
    </row>
    <row r="28" spans="1:22" outlineLevel="1" x14ac:dyDescent="0.3">
      <c r="A28" t="s">
        <v>397</v>
      </c>
      <c r="B28" t="s">
        <v>398</v>
      </c>
      <c r="C28" s="245">
        <v>17.404976000000001</v>
      </c>
      <c r="D28" s="10">
        <v>11.552603</v>
      </c>
      <c r="E28" s="10">
        <v>1.2178654</v>
      </c>
      <c r="F28" s="10">
        <v>1.8743888</v>
      </c>
      <c r="G28" s="10">
        <v>0.13513762000000001</v>
      </c>
      <c r="H28" s="10">
        <v>9.7576898000000002E-3</v>
      </c>
      <c r="I28" s="10">
        <v>5.3043142000000001E-3</v>
      </c>
      <c r="J28" s="10">
        <v>1.3660443E-2</v>
      </c>
      <c r="K28" s="10">
        <v>2.4785172E-3</v>
      </c>
      <c r="L28" s="10">
        <v>4.8113091000000002E-3</v>
      </c>
      <c r="M28" s="10">
        <v>4.7421517000000002E-4</v>
      </c>
      <c r="N28" s="10">
        <v>3.0700722000000001E-3</v>
      </c>
      <c r="O28" s="10">
        <v>4.8613692999999999E-2</v>
      </c>
      <c r="P28" s="10">
        <v>2.5312181999999999E-5</v>
      </c>
      <c r="Q28" s="10">
        <v>1.6055392000000002E-2</v>
      </c>
      <c r="R28" s="10">
        <v>7.9893843999999999E-4</v>
      </c>
      <c r="S28" s="10">
        <v>1.9973829000000001</v>
      </c>
      <c r="T28" s="10">
        <v>0.33447444999999998</v>
      </c>
      <c r="U28" s="10">
        <v>0.18777909000000001</v>
      </c>
      <c r="V28" s="10">
        <v>2.9470736999999999E-4</v>
      </c>
    </row>
    <row r="29" spans="1:22" outlineLevel="1" x14ac:dyDescent="0.3">
      <c r="A29" t="s">
        <v>399</v>
      </c>
      <c r="B29" t="s">
        <v>400</v>
      </c>
      <c r="C29" s="245">
        <v>1.3229894999999999E-6</v>
      </c>
      <c r="D29" s="10">
        <v>9.5078457E-7</v>
      </c>
      <c r="E29" s="10">
        <v>6.6739287999999999E-8</v>
      </c>
      <c r="F29" s="10">
        <v>7.4259459000000001E-8</v>
      </c>
      <c r="G29" s="10">
        <v>8.3181464000000008E-9</v>
      </c>
      <c r="H29" s="10">
        <v>2.6392580999999999E-10</v>
      </c>
      <c r="I29" s="10">
        <v>4.7832941E-10</v>
      </c>
      <c r="J29" s="10">
        <v>7.8366435E-10</v>
      </c>
      <c r="K29" s="10">
        <v>1.5390034999999999E-10</v>
      </c>
      <c r="L29" s="10">
        <v>2.8090209999999998E-10</v>
      </c>
      <c r="M29" s="10">
        <v>2.8458790000000001E-11</v>
      </c>
      <c r="N29" s="10">
        <v>5.6803433999999999E-11</v>
      </c>
      <c r="O29" s="10">
        <v>1.1425352E-9</v>
      </c>
      <c r="P29" s="10">
        <v>1.6472576E-12</v>
      </c>
      <c r="Q29" s="10">
        <v>6.3608185999999995E-10</v>
      </c>
      <c r="R29" s="10">
        <v>4.0652426000000001E-11</v>
      </c>
      <c r="S29" s="10">
        <v>1.6930896999999999E-7</v>
      </c>
      <c r="T29" s="10">
        <v>2.3800737000000001E-8</v>
      </c>
      <c r="U29" s="10">
        <v>2.5909559E-8</v>
      </c>
      <c r="V29" s="10">
        <v>1.8587757999999999E-12</v>
      </c>
    </row>
    <row r="30" spans="1:22" outlineLevel="1" x14ac:dyDescent="0.3">
      <c r="A30" t="s">
        <v>1024</v>
      </c>
      <c r="B30" t="s">
        <v>401</v>
      </c>
      <c r="C30" s="245">
        <v>0.48232908000000002</v>
      </c>
      <c r="D30" s="10">
        <v>0.29160612000000002</v>
      </c>
      <c r="E30" s="10">
        <v>3.7762451000000002E-2</v>
      </c>
      <c r="F30" s="10">
        <v>2.7107320000000001E-2</v>
      </c>
      <c r="G30" s="10">
        <v>7.348813E-3</v>
      </c>
      <c r="H30" s="10">
        <v>1.4256480999999999E-4</v>
      </c>
      <c r="I30" s="10">
        <v>3.3685829999999999E-4</v>
      </c>
      <c r="J30" s="10">
        <v>2.8734177E-4</v>
      </c>
      <c r="K30" s="10">
        <v>8.7894707000000003E-5</v>
      </c>
      <c r="L30" s="10">
        <v>1.4821877E-4</v>
      </c>
      <c r="M30" s="10">
        <v>2.0162392E-5</v>
      </c>
      <c r="N30" s="10">
        <v>3.6683329000000001E-5</v>
      </c>
      <c r="O30" s="10">
        <v>1.1602089999999999E-3</v>
      </c>
      <c r="P30" s="10">
        <v>1.7375281E-6</v>
      </c>
      <c r="Q30" s="10">
        <v>2.3219230000000001E-4</v>
      </c>
      <c r="R30" s="10">
        <v>3.0125085999999999E-5</v>
      </c>
      <c r="S30" s="10">
        <v>9.1244397000000005E-2</v>
      </c>
      <c r="T30" s="10">
        <v>1.6099958000000001E-2</v>
      </c>
      <c r="U30" s="10">
        <v>8.6743587000000007E-3</v>
      </c>
      <c r="V30" s="10">
        <v>1.6690746E-6</v>
      </c>
    </row>
    <row r="31" spans="1:22" outlineLevel="1" x14ac:dyDescent="0.3">
      <c r="A31" t="s">
        <v>1025</v>
      </c>
      <c r="B31" t="s">
        <v>402</v>
      </c>
      <c r="C31" s="245">
        <v>0.10852146</v>
      </c>
      <c r="D31" s="10">
        <v>8.3088674000000001E-2</v>
      </c>
      <c r="E31" s="10">
        <v>6.0765228999999999E-3</v>
      </c>
      <c r="F31" s="10">
        <v>6.0510130000000001E-3</v>
      </c>
      <c r="G31" s="10">
        <v>3.1788805999999998E-4</v>
      </c>
      <c r="H31" s="10">
        <v>3.4039723999999998E-5</v>
      </c>
      <c r="I31" s="10">
        <v>1.4329615E-5</v>
      </c>
      <c r="J31" s="10">
        <v>6.7750656999999997E-5</v>
      </c>
      <c r="K31" s="10">
        <v>1.0123869999999999E-5</v>
      </c>
      <c r="L31" s="10">
        <v>1.0309695E-4</v>
      </c>
      <c r="M31" s="10">
        <v>5.2654264999999996E-6</v>
      </c>
      <c r="N31" s="10">
        <v>7.4334087999999996E-6</v>
      </c>
      <c r="O31" s="10">
        <v>1.5365459999999999E-4</v>
      </c>
      <c r="P31" s="10">
        <v>7.5976901000000004E-8</v>
      </c>
      <c r="Q31" s="10">
        <v>5.1830967999999998E-5</v>
      </c>
      <c r="R31" s="10">
        <v>2.7023158000000001E-6</v>
      </c>
      <c r="S31" s="10">
        <v>9.1308047E-3</v>
      </c>
      <c r="T31" s="10">
        <v>2.2291684999999999E-3</v>
      </c>
      <c r="U31" s="10">
        <v>1.1761794E-3</v>
      </c>
      <c r="V31" s="10">
        <v>9.0186832999999999E-7</v>
      </c>
    </row>
    <row r="32" spans="1:22" outlineLevel="1" x14ac:dyDescent="0.3">
      <c r="A32" t="s">
        <v>1026</v>
      </c>
      <c r="B32" t="s">
        <v>403</v>
      </c>
      <c r="C32" s="245">
        <v>2.4751692000000001E-6</v>
      </c>
      <c r="D32" s="10">
        <v>2.0688734999999998E-6</v>
      </c>
      <c r="E32" s="10">
        <v>8.8495279000000006E-8</v>
      </c>
      <c r="F32" s="10">
        <v>1.4315796E-7</v>
      </c>
      <c r="G32" s="10">
        <v>6.0264383999999996E-9</v>
      </c>
      <c r="H32" s="10">
        <v>3.3230453999999999E-10</v>
      </c>
      <c r="I32" s="10">
        <v>1.8038087E-10</v>
      </c>
      <c r="J32" s="10">
        <v>1.1588705999999999E-9</v>
      </c>
      <c r="K32" s="10">
        <v>1.3923711E-10</v>
      </c>
      <c r="L32" s="10">
        <v>1.1864158E-9</v>
      </c>
      <c r="M32" s="10">
        <v>6.1531384999999998E-11</v>
      </c>
      <c r="N32" s="10">
        <v>1.4172933999999999E-10</v>
      </c>
      <c r="O32" s="10">
        <v>1.6485235000000001E-9</v>
      </c>
      <c r="P32" s="10">
        <v>1.2883853E-12</v>
      </c>
      <c r="Q32" s="10">
        <v>1.2262435E-9</v>
      </c>
      <c r="R32" s="10">
        <v>3.5073599999999999E-11</v>
      </c>
      <c r="S32" s="10">
        <v>1.1700568E-7</v>
      </c>
      <c r="T32" s="10">
        <v>2.2187225000000001E-8</v>
      </c>
      <c r="U32" s="10">
        <v>2.3290570999999999E-8</v>
      </c>
      <c r="V32" s="10">
        <v>2.0872485000000001E-11</v>
      </c>
    </row>
    <row r="33" spans="1:22" outlineLevel="1" x14ac:dyDescent="0.3">
      <c r="A33" t="s">
        <v>1027</v>
      </c>
      <c r="B33" t="s">
        <v>404</v>
      </c>
      <c r="C33" s="245">
        <v>1.3171346E-6</v>
      </c>
      <c r="D33" s="10">
        <v>1.0390083E-6</v>
      </c>
      <c r="E33" s="10">
        <v>6.2006032999999993E-8</v>
      </c>
      <c r="F33" s="10">
        <v>4.9245463000000001E-8</v>
      </c>
      <c r="G33" s="10">
        <v>1.9257077000000001E-9</v>
      </c>
      <c r="H33" s="10">
        <v>7.0335396000000004E-11</v>
      </c>
      <c r="I33" s="10">
        <v>4.6609289999999998E-11</v>
      </c>
      <c r="J33" s="10">
        <v>7.3558730000000001E-10</v>
      </c>
      <c r="K33" s="10">
        <v>4.9300095999999998E-11</v>
      </c>
      <c r="L33" s="10">
        <v>6.3501143999999999E-9</v>
      </c>
      <c r="M33" s="10">
        <v>2.5439851E-10</v>
      </c>
      <c r="N33" s="10">
        <v>8.8654239000000006E-12</v>
      </c>
      <c r="O33" s="10">
        <v>5.0573962999999996E-10</v>
      </c>
      <c r="P33" s="10">
        <v>1.0299304000000001E-12</v>
      </c>
      <c r="Q33" s="10">
        <v>4.2182029E-10</v>
      </c>
      <c r="R33" s="10">
        <v>1.0086260999999999E-11</v>
      </c>
      <c r="S33" s="10">
        <v>1.3555431999999999E-7</v>
      </c>
      <c r="T33" s="10">
        <v>1.6429749000000002E-8</v>
      </c>
      <c r="U33" s="10">
        <v>4.5082863E-9</v>
      </c>
      <c r="V33" s="10">
        <v>2.9182419999999998E-12</v>
      </c>
    </row>
    <row r="34" spans="1:22" outlineLevel="1" x14ac:dyDescent="0.3">
      <c r="A34" t="s">
        <v>1028</v>
      </c>
      <c r="B34" t="s">
        <v>404</v>
      </c>
      <c r="C34" s="245">
        <v>2.7096856999999998E-8</v>
      </c>
      <c r="D34" s="10">
        <v>1.8632273999999999E-8</v>
      </c>
      <c r="E34" s="10">
        <v>1.6511603E-9</v>
      </c>
      <c r="F34" s="10">
        <v>2.6440391E-9</v>
      </c>
      <c r="G34" s="10">
        <v>1.2762885999999999E-10</v>
      </c>
      <c r="H34" s="10">
        <v>2.7342468000000002E-12</v>
      </c>
      <c r="I34" s="10">
        <v>1.8076932E-12</v>
      </c>
      <c r="J34" s="10">
        <v>7.9863583999999997E-11</v>
      </c>
      <c r="K34" s="10">
        <v>8.6273730000000007E-12</v>
      </c>
      <c r="L34" s="10">
        <v>7.4195223000000002E-11</v>
      </c>
      <c r="M34" s="10">
        <v>3.1002334E-12</v>
      </c>
      <c r="N34" s="10">
        <v>5.1694847000000002E-13</v>
      </c>
      <c r="O34" s="10">
        <v>1.6069059999999999E-11</v>
      </c>
      <c r="P34" s="10">
        <v>4.8054911E-14</v>
      </c>
      <c r="Q34" s="10">
        <v>2.2647961E-11</v>
      </c>
      <c r="R34" s="10">
        <v>4.4322143000000001E-13</v>
      </c>
      <c r="S34" s="10">
        <v>3.1640258999999998E-9</v>
      </c>
      <c r="T34" s="10">
        <v>3.3370727000000002E-10</v>
      </c>
      <c r="U34" s="10">
        <v>3.3390782E-10</v>
      </c>
      <c r="V34" s="10">
        <v>5.9492387E-14</v>
      </c>
    </row>
    <row r="35" spans="1:22" outlineLevel="1" x14ac:dyDescent="0.3">
      <c r="A35" t="s">
        <v>1029</v>
      </c>
      <c r="B35" t="s">
        <v>405</v>
      </c>
      <c r="C35" s="245">
        <v>0.64269441000000005</v>
      </c>
      <c r="D35" s="10">
        <v>0.59177555000000004</v>
      </c>
      <c r="E35" s="10">
        <v>1.1985371999999999E-2</v>
      </c>
      <c r="F35" s="10">
        <v>1.2425185E-2</v>
      </c>
      <c r="G35" s="10">
        <v>5.8110021999999996E-4</v>
      </c>
      <c r="H35" s="10">
        <v>3.9774392999999997E-5</v>
      </c>
      <c r="I35" s="10">
        <v>2.5393555000000001E-5</v>
      </c>
      <c r="J35" s="10">
        <v>6.3702874999999994E-5</v>
      </c>
      <c r="K35" s="10">
        <v>1.1864954E-5</v>
      </c>
      <c r="L35" s="10">
        <v>5.5360507000000003E-4</v>
      </c>
      <c r="M35" s="10">
        <v>2.3386172E-5</v>
      </c>
      <c r="N35" s="10">
        <v>1.2934965E-5</v>
      </c>
      <c r="O35" s="10">
        <v>2.1440685000000001E-4</v>
      </c>
      <c r="P35" s="10">
        <v>1.2953889999999999E-7</v>
      </c>
      <c r="Q35" s="10">
        <v>1.0643E-4</v>
      </c>
      <c r="R35" s="10">
        <v>3.9445182E-6</v>
      </c>
      <c r="S35" s="10">
        <v>1.9301852000000001E-2</v>
      </c>
      <c r="T35" s="10">
        <v>3.7208251000000001E-3</v>
      </c>
      <c r="U35" s="10">
        <v>1.8474194E-3</v>
      </c>
      <c r="V35" s="10">
        <v>1.5289479999999999E-6</v>
      </c>
    </row>
    <row r="36" spans="1:22" outlineLevel="1" x14ac:dyDescent="0.3">
      <c r="A36" t="s">
        <v>1030</v>
      </c>
      <c r="B36" t="s">
        <v>406</v>
      </c>
      <c r="C36" s="245">
        <v>1.6248987999999999E-3</v>
      </c>
      <c r="D36" s="10">
        <v>9.5187802999999996E-4</v>
      </c>
      <c r="E36" s="10">
        <v>1.3700410000000001E-4</v>
      </c>
      <c r="F36" s="10">
        <v>6.4183367999999999E-5</v>
      </c>
      <c r="G36" s="10">
        <v>7.7385131999999993E-6</v>
      </c>
      <c r="H36" s="10">
        <v>2.0038843999999999E-7</v>
      </c>
      <c r="I36" s="10">
        <v>2.6335691999999999E-7</v>
      </c>
      <c r="J36" s="10">
        <v>6.5937698999999995E-7</v>
      </c>
      <c r="K36" s="10">
        <v>1.0977617E-7</v>
      </c>
      <c r="L36" s="10">
        <v>4.4083406999999996E-6</v>
      </c>
      <c r="M36" s="10">
        <v>1.8767688000000001E-7</v>
      </c>
      <c r="N36" s="10">
        <v>3.5456578999999999E-8</v>
      </c>
      <c r="O36" s="10">
        <v>1.5344655000000001E-6</v>
      </c>
      <c r="P36" s="10">
        <v>1.5384387999999999E-9</v>
      </c>
      <c r="Q36" s="10">
        <v>5.4977342000000005E-7</v>
      </c>
      <c r="R36" s="10">
        <v>3.3697166999999998E-8</v>
      </c>
      <c r="S36" s="10">
        <v>3.8949037000000003E-4</v>
      </c>
      <c r="T36" s="10">
        <v>6.1427981000000003E-5</v>
      </c>
      <c r="U36" s="10">
        <v>5.1863907999999997E-6</v>
      </c>
      <c r="V36" s="10">
        <v>6.1969417999999996E-9</v>
      </c>
    </row>
    <row r="37" spans="1:22" outlineLevel="1" x14ac:dyDescent="0.3">
      <c r="A37" t="s">
        <v>1031</v>
      </c>
      <c r="B37" t="s">
        <v>407</v>
      </c>
      <c r="C37" s="245">
        <v>2.4496919999999998E-2</v>
      </c>
      <c r="D37" s="10">
        <v>1.7136894E-2</v>
      </c>
      <c r="E37" s="10">
        <v>1.6424189E-3</v>
      </c>
      <c r="F37" s="10">
        <v>1.8494523E-3</v>
      </c>
      <c r="G37" s="10">
        <v>1.3533393000000001E-4</v>
      </c>
      <c r="H37" s="10">
        <v>7.3225069999999998E-6</v>
      </c>
      <c r="I37" s="10">
        <v>4.1783864000000003E-6</v>
      </c>
      <c r="J37" s="10">
        <v>1.3259498E-5</v>
      </c>
      <c r="K37" s="10">
        <v>2.2750250999999998E-6</v>
      </c>
      <c r="L37" s="10">
        <v>2.5499391000000001E-5</v>
      </c>
      <c r="M37" s="10">
        <v>1.2288917999999999E-6</v>
      </c>
      <c r="N37" s="10">
        <v>4.0246318999999996E-6</v>
      </c>
      <c r="O37" s="10">
        <v>3.7653254999999998E-5</v>
      </c>
      <c r="P37" s="10">
        <v>2.1866067E-8</v>
      </c>
      <c r="Q37" s="10">
        <v>1.5841794000000002E-5</v>
      </c>
      <c r="R37" s="10">
        <v>6.5825375999999999E-7</v>
      </c>
      <c r="S37" s="10">
        <v>2.7468698000000001E-3</v>
      </c>
      <c r="T37" s="10">
        <v>5.5963872000000005E-4</v>
      </c>
      <c r="U37" s="10">
        <v>3.1403220999999998E-4</v>
      </c>
      <c r="V37" s="10">
        <v>3.1645877E-7</v>
      </c>
    </row>
    <row r="38" spans="1:22" outlineLevel="1" x14ac:dyDescent="0.3">
      <c r="A38" t="s">
        <v>1032</v>
      </c>
      <c r="B38" t="s">
        <v>408</v>
      </c>
      <c r="C38" s="245">
        <v>0.32567003999999999</v>
      </c>
      <c r="D38" s="10">
        <v>0.23625744000000001</v>
      </c>
      <c r="E38" s="10">
        <v>1.9490638000000001E-2</v>
      </c>
      <c r="F38" s="10">
        <v>2.0626611999999999E-2</v>
      </c>
      <c r="G38" s="10">
        <v>1.2188595E-3</v>
      </c>
      <c r="H38" s="10">
        <v>8.1535152E-5</v>
      </c>
      <c r="I38" s="10">
        <v>4.7862918000000001E-5</v>
      </c>
      <c r="J38" s="10">
        <v>1.4422204000000001E-4</v>
      </c>
      <c r="K38" s="10">
        <v>2.5307548999999999E-5</v>
      </c>
      <c r="L38" s="10">
        <v>3.8691250000000001E-4</v>
      </c>
      <c r="M38" s="10">
        <v>1.7721604000000001E-5</v>
      </c>
      <c r="N38" s="10">
        <v>2.1919661E-5</v>
      </c>
      <c r="O38" s="10">
        <v>4.2530151999999998E-4</v>
      </c>
      <c r="P38" s="10">
        <v>2.4479493E-7</v>
      </c>
      <c r="Q38" s="10">
        <v>1.7668071E-4</v>
      </c>
      <c r="R38" s="10">
        <v>7.3556211000000002E-6</v>
      </c>
      <c r="S38" s="10">
        <v>3.3365930000000002E-2</v>
      </c>
      <c r="T38" s="10">
        <v>6.7927268000000001E-3</v>
      </c>
      <c r="U38" s="10">
        <v>6.5792862999999998E-3</v>
      </c>
      <c r="V38" s="10">
        <v>3.4816845000000002E-6</v>
      </c>
    </row>
    <row r="39" spans="1:22" outlineLevel="1" x14ac:dyDescent="0.3">
      <c r="A39" t="s">
        <v>1033</v>
      </c>
      <c r="B39" t="s">
        <v>409</v>
      </c>
      <c r="C39" s="245">
        <v>2011.3997999999999</v>
      </c>
      <c r="D39" s="10">
        <v>1560.6379999999999</v>
      </c>
      <c r="E39" s="10">
        <v>111.06108999999999</v>
      </c>
      <c r="F39" s="10">
        <v>50.369044000000002</v>
      </c>
      <c r="G39" s="10">
        <v>12.089273</v>
      </c>
      <c r="H39" s="10">
        <v>0.10700034</v>
      </c>
      <c r="I39" s="10">
        <v>9.0100902999999996E-2</v>
      </c>
      <c r="J39" s="10">
        <v>0.44833346000000002</v>
      </c>
      <c r="K39" s="10">
        <v>5.9705083999999999E-2</v>
      </c>
      <c r="L39" s="10">
        <v>5.3357654999999999</v>
      </c>
      <c r="M39" s="10">
        <v>0.22494832000000001</v>
      </c>
      <c r="N39" s="10">
        <v>1.1292698E-2</v>
      </c>
      <c r="O39" s="10">
        <v>0.72775111999999997</v>
      </c>
      <c r="P39" s="10">
        <v>5.1549854999999995E-4</v>
      </c>
      <c r="Q39" s="10">
        <v>0.43144450000000001</v>
      </c>
      <c r="R39" s="10">
        <v>1.9510182000000001E-2</v>
      </c>
      <c r="S39" s="10">
        <v>218.21912</v>
      </c>
      <c r="T39" s="10">
        <v>46.637118999999998</v>
      </c>
      <c r="U39" s="10">
        <v>4.9224211999999996</v>
      </c>
      <c r="V39" s="10">
        <v>7.4473263000000003E-3</v>
      </c>
    </row>
    <row r="40" spans="1:22" outlineLevel="1" x14ac:dyDescent="0.3">
      <c r="A40" t="s">
        <v>410</v>
      </c>
      <c r="B40" t="s">
        <v>411</v>
      </c>
      <c r="C40" s="245">
        <v>98.616213000000002</v>
      </c>
      <c r="D40" s="10">
        <v>49.454306000000003</v>
      </c>
      <c r="E40" s="10">
        <v>6.6589748000000002</v>
      </c>
      <c r="F40" s="10">
        <v>3.4619404</v>
      </c>
      <c r="G40" s="10">
        <v>1.1171895999999999</v>
      </c>
      <c r="H40" s="10">
        <v>1.4398993000000001E-2</v>
      </c>
      <c r="I40" s="10">
        <v>3.7966628000000002E-2</v>
      </c>
      <c r="J40" s="10">
        <v>4.3156345999999998E-2</v>
      </c>
      <c r="K40" s="10">
        <v>7.6779611999999997E-3</v>
      </c>
      <c r="L40" s="10">
        <v>7.3330524999999994E-2</v>
      </c>
      <c r="M40" s="10">
        <v>4.1497093999999998E-3</v>
      </c>
      <c r="N40" s="10">
        <v>3.8975756000000001E-3</v>
      </c>
      <c r="O40" s="10">
        <v>9.7468220999999994E-2</v>
      </c>
      <c r="P40" s="10">
        <v>7.5415911999999997E-5</v>
      </c>
      <c r="Q40" s="10">
        <v>2.9653832000000001E-2</v>
      </c>
      <c r="R40" s="10">
        <v>1.5627654E-3</v>
      </c>
      <c r="S40" s="10">
        <v>16.108809000000001</v>
      </c>
      <c r="T40" s="10">
        <v>2.8965453999999999</v>
      </c>
      <c r="U40" s="10">
        <v>18.604551000000001</v>
      </c>
      <c r="V40" s="10">
        <v>5.5965940999999999E-4</v>
      </c>
    </row>
    <row r="41" spans="1:22" outlineLevel="1" x14ac:dyDescent="0.3">
      <c r="A41" t="s">
        <v>1034</v>
      </c>
      <c r="B41" t="s">
        <v>412</v>
      </c>
      <c r="C41" s="245">
        <v>4.7220592000000003</v>
      </c>
      <c r="D41" s="10">
        <v>3.4660967999999999</v>
      </c>
      <c r="E41" s="10">
        <v>0.26897079000000002</v>
      </c>
      <c r="F41" s="10">
        <v>0.26226506999999999</v>
      </c>
      <c r="G41" s="10">
        <v>2.6823785999999999E-2</v>
      </c>
      <c r="H41" s="10">
        <v>4.3818510999999996E-3</v>
      </c>
      <c r="I41" s="10">
        <v>1.6570332000000001E-3</v>
      </c>
      <c r="J41" s="10">
        <v>4.1853515000000001E-3</v>
      </c>
      <c r="K41" s="10">
        <v>1.8529561E-3</v>
      </c>
      <c r="L41" s="10">
        <v>3.9921970000000003E-3</v>
      </c>
      <c r="M41" s="10">
        <v>4.8279306E-4</v>
      </c>
      <c r="N41" s="10">
        <v>2.9208653E-3</v>
      </c>
      <c r="O41" s="10">
        <v>2.3532509E-2</v>
      </c>
      <c r="P41" s="10">
        <v>9.8906145E-4</v>
      </c>
      <c r="Q41" s="10">
        <v>2.2464755000000001E-3</v>
      </c>
      <c r="R41" s="10">
        <v>1.6902875999999999E-4</v>
      </c>
      <c r="S41" s="10">
        <v>0.50845699</v>
      </c>
      <c r="T41" s="10">
        <v>9.4302220000000006E-2</v>
      </c>
      <c r="U41" s="10">
        <v>4.8703272999999998E-2</v>
      </c>
      <c r="V41" s="10">
        <v>3.0147430000000001E-5</v>
      </c>
    </row>
    <row r="42" spans="1:22" outlineLevel="1" x14ac:dyDescent="0.3">
      <c r="A42" t="s">
        <v>1035</v>
      </c>
      <c r="B42" t="s">
        <v>21</v>
      </c>
      <c r="C42" s="245">
        <v>199.37126000000001</v>
      </c>
      <c r="D42" s="10">
        <v>133.47595999999999</v>
      </c>
      <c r="E42" s="10">
        <v>13.59337</v>
      </c>
      <c r="F42" s="10">
        <v>17.729367</v>
      </c>
      <c r="G42" s="10">
        <v>1.5887795</v>
      </c>
      <c r="H42" s="10">
        <v>0.29968266999999998</v>
      </c>
      <c r="I42" s="10">
        <v>8.3576294999999995E-2</v>
      </c>
      <c r="J42" s="10">
        <v>0.14520775999999999</v>
      </c>
      <c r="K42" s="10">
        <v>3.0382470000000002E-2</v>
      </c>
      <c r="L42" s="10">
        <v>5.0598704000000001E-2</v>
      </c>
      <c r="M42" s="10">
        <v>5.6049927999999999E-3</v>
      </c>
      <c r="N42" s="10">
        <v>4.4067038000000003E-2</v>
      </c>
      <c r="O42" s="10">
        <v>1.1417659</v>
      </c>
      <c r="P42" s="10">
        <v>3.3464155000000002E-4</v>
      </c>
      <c r="Q42" s="10">
        <v>0.15186387000000001</v>
      </c>
      <c r="R42" s="10">
        <v>9.7577119000000004E-3</v>
      </c>
      <c r="S42" s="10">
        <v>24.165731000000001</v>
      </c>
      <c r="T42" s="10">
        <v>4.2892048999999997</v>
      </c>
      <c r="U42" s="10">
        <v>2.5634082</v>
      </c>
      <c r="V42" s="10">
        <v>2.5978717000000001E-3</v>
      </c>
    </row>
    <row r="43" spans="1:22" outlineLevel="1" x14ac:dyDescent="0.3">
      <c r="A43" t="s">
        <v>1036</v>
      </c>
      <c r="B43" t="s">
        <v>413</v>
      </c>
      <c r="C43" s="245">
        <v>2.7589824999999998E-3</v>
      </c>
      <c r="D43" s="10">
        <v>8.5326347000000001E-4</v>
      </c>
      <c r="E43" s="10">
        <v>4.5157679000000002E-4</v>
      </c>
      <c r="F43" s="10">
        <v>6.6138138000000002E-6</v>
      </c>
      <c r="G43" s="10">
        <v>5.8532470000000004E-6</v>
      </c>
      <c r="H43" s="10">
        <v>9.0802871999999995E-8</v>
      </c>
      <c r="I43" s="10">
        <v>3.7750696999999998E-8</v>
      </c>
      <c r="J43" s="10">
        <v>1.1697511E-7</v>
      </c>
      <c r="K43" s="10">
        <v>2.2070332999999999E-8</v>
      </c>
      <c r="L43" s="10">
        <v>3.1578156999999998E-6</v>
      </c>
      <c r="M43" s="10">
        <v>1.2602467000000001E-7</v>
      </c>
      <c r="N43" s="10">
        <v>5.7022143E-9</v>
      </c>
      <c r="O43" s="10">
        <v>7.4822108000000001E-7</v>
      </c>
      <c r="P43" s="10">
        <v>7.4456877000000005E-10</v>
      </c>
      <c r="Q43" s="10">
        <v>5.6651733000000001E-8</v>
      </c>
      <c r="R43" s="10">
        <v>2.1633415000000002E-9</v>
      </c>
      <c r="S43" s="10">
        <v>1.0499793E-3</v>
      </c>
      <c r="T43" s="10">
        <v>2.6456450000000002E-4</v>
      </c>
      <c r="U43" s="10">
        <v>1.2276602000000001E-4</v>
      </c>
      <c r="V43" s="10">
        <v>3.8332792E-10</v>
      </c>
    </row>
    <row r="46" spans="1:22" s="368" customFormat="1" ht="22.95" customHeight="1" x14ac:dyDescent="0.3">
      <c r="A46" s="386" t="s">
        <v>873</v>
      </c>
      <c r="C46" s="387"/>
      <c r="D46" s="387"/>
      <c r="E46" s="387"/>
      <c r="F46" s="387"/>
      <c r="G46" s="387"/>
      <c r="H46" s="387"/>
      <c r="I46" s="387"/>
      <c r="J46" s="387"/>
      <c r="K46" s="387"/>
      <c r="L46" s="387"/>
      <c r="M46" s="387"/>
      <c r="N46" s="387"/>
      <c r="O46" s="387"/>
      <c r="P46" s="387"/>
      <c r="Q46" s="387"/>
      <c r="R46" s="387"/>
      <c r="S46" s="387"/>
      <c r="T46" s="387"/>
      <c r="U46" s="387"/>
      <c r="V46" s="387"/>
    </row>
    <row r="47" spans="1:22" s="371" customFormat="1" ht="115.2" outlineLevel="1" x14ac:dyDescent="0.3">
      <c r="A47" s="371" t="s">
        <v>395</v>
      </c>
      <c r="B47" s="371" t="s">
        <v>396</v>
      </c>
      <c r="C47" s="246" t="s">
        <v>867</v>
      </c>
      <c r="D47" s="246" t="s">
        <v>868</v>
      </c>
      <c r="E47" s="246" t="s">
        <v>506</v>
      </c>
      <c r="F47" s="246" t="s">
        <v>685</v>
      </c>
      <c r="G47" s="246" t="s">
        <v>686</v>
      </c>
      <c r="H47" s="246" t="s">
        <v>687</v>
      </c>
      <c r="I47" s="246" t="s">
        <v>688</v>
      </c>
      <c r="J47" s="246" t="s">
        <v>689</v>
      </c>
      <c r="K47" s="246" t="s">
        <v>690</v>
      </c>
      <c r="L47" s="246" t="s">
        <v>691</v>
      </c>
      <c r="M47" s="246" t="s">
        <v>692</v>
      </c>
      <c r="N47" s="246" t="s">
        <v>693</v>
      </c>
      <c r="O47" s="246" t="s">
        <v>694</v>
      </c>
      <c r="P47" s="246" t="s">
        <v>695</v>
      </c>
      <c r="Q47" s="246" t="s">
        <v>685</v>
      </c>
      <c r="R47" s="246" t="s">
        <v>696</v>
      </c>
      <c r="S47" s="246" t="s">
        <v>436</v>
      </c>
      <c r="T47" s="246" t="s">
        <v>697</v>
      </c>
      <c r="U47" s="246" t="s">
        <v>507</v>
      </c>
      <c r="V47" s="246" t="s">
        <v>698</v>
      </c>
    </row>
    <row r="48" spans="1:22" outlineLevel="1" x14ac:dyDescent="0.3">
      <c r="A48" t="s">
        <v>397</v>
      </c>
      <c r="B48" t="s">
        <v>398</v>
      </c>
      <c r="C48" s="245">
        <v>17.925571000000001</v>
      </c>
      <c r="D48" s="10">
        <v>11.764389</v>
      </c>
      <c r="E48" s="10">
        <v>1.2434322</v>
      </c>
      <c r="F48" s="10">
        <v>1.9013977</v>
      </c>
      <c r="G48" s="10">
        <v>0.13708488999999999</v>
      </c>
      <c r="H48" s="10">
        <v>1.0231723E-2</v>
      </c>
      <c r="I48" s="10">
        <v>5.5620004000000002E-3</v>
      </c>
      <c r="J48" s="10">
        <v>1.3202956E-2</v>
      </c>
      <c r="K48" s="10">
        <v>2.3955118000000002E-3</v>
      </c>
      <c r="L48" s="10">
        <v>2.9170683000000002E-3</v>
      </c>
      <c r="M48" s="10">
        <v>2.8751386000000002E-4</v>
      </c>
      <c r="N48" s="10">
        <v>1.8613684999999999E-3</v>
      </c>
      <c r="O48" s="10">
        <v>5.0333958999999998E-2</v>
      </c>
      <c r="P48" s="10">
        <v>2.6207889E-5</v>
      </c>
      <c r="Q48" s="10">
        <v>1.752391E-2</v>
      </c>
      <c r="R48" s="10">
        <v>8.7201393000000001E-4</v>
      </c>
      <c r="S48" s="10">
        <v>2.2073254000000002</v>
      </c>
      <c r="T48" s="10">
        <v>0.35992551</v>
      </c>
      <c r="U48" s="10">
        <v>0.20650723000000001</v>
      </c>
      <c r="V48" s="10">
        <v>2.9470736999999999E-4</v>
      </c>
    </row>
    <row r="49" spans="1:22" outlineLevel="1" x14ac:dyDescent="0.3">
      <c r="A49" t="s">
        <v>399</v>
      </c>
      <c r="B49" t="s">
        <v>400</v>
      </c>
      <c r="C49" s="245">
        <v>1.3655272000000001E-6</v>
      </c>
      <c r="D49" s="10">
        <v>9.679099899999999E-7</v>
      </c>
      <c r="E49" s="10">
        <v>6.8807795000000001E-8</v>
      </c>
      <c r="F49" s="10">
        <v>7.53295E-8</v>
      </c>
      <c r="G49" s="10">
        <v>8.4380067999999997E-9</v>
      </c>
      <c r="H49" s="10">
        <v>2.7674745000000002E-10</v>
      </c>
      <c r="I49" s="10">
        <v>5.0156688999999996E-10</v>
      </c>
      <c r="J49" s="10">
        <v>7.5741948999999996E-10</v>
      </c>
      <c r="K49" s="10">
        <v>1.4874624E-10</v>
      </c>
      <c r="L49" s="10">
        <v>1.7030929E-10</v>
      </c>
      <c r="M49" s="10">
        <v>1.7254397E-11</v>
      </c>
      <c r="N49" s="10">
        <v>3.4439622000000001E-11</v>
      </c>
      <c r="O49" s="10">
        <v>1.1829654000000001E-9</v>
      </c>
      <c r="P49" s="10">
        <v>1.7055481999999999E-12</v>
      </c>
      <c r="Q49" s="10">
        <v>6.9426155999999996E-10</v>
      </c>
      <c r="R49" s="10">
        <v>4.4370729999999999E-11</v>
      </c>
      <c r="S49" s="10">
        <v>1.8710483E-7</v>
      </c>
      <c r="T49" s="10">
        <v>2.5611799E-8</v>
      </c>
      <c r="U49" s="10">
        <v>2.8493648000000001E-8</v>
      </c>
      <c r="V49" s="10">
        <v>1.8587757999999999E-12</v>
      </c>
    </row>
    <row r="50" spans="1:22" outlineLevel="1" x14ac:dyDescent="0.3">
      <c r="A50" t="s">
        <v>1024</v>
      </c>
      <c r="B50" t="s">
        <v>401</v>
      </c>
      <c r="C50" s="245">
        <v>0.49808227999999999</v>
      </c>
      <c r="D50" s="10">
        <v>0.29368765000000002</v>
      </c>
      <c r="E50" s="10">
        <v>3.9261719E-2</v>
      </c>
      <c r="F50" s="10">
        <v>2.7497922000000001E-2</v>
      </c>
      <c r="G50" s="10">
        <v>7.4547058000000001E-3</v>
      </c>
      <c r="H50" s="10">
        <v>1.4949068E-4</v>
      </c>
      <c r="I50" s="10">
        <v>3.5322304000000001E-4</v>
      </c>
      <c r="J50" s="10">
        <v>2.7771871999999998E-4</v>
      </c>
      <c r="K50" s="10">
        <v>8.4951120000000002E-5</v>
      </c>
      <c r="L50" s="10">
        <v>8.9864167000000002E-5</v>
      </c>
      <c r="M50" s="10">
        <v>1.2224338999999999E-5</v>
      </c>
      <c r="N50" s="10">
        <v>2.2240908000000001E-5</v>
      </c>
      <c r="O50" s="10">
        <v>1.2012647000000001E-3</v>
      </c>
      <c r="P50" s="10">
        <v>1.799013E-6</v>
      </c>
      <c r="Q50" s="10">
        <v>2.5342993999999999E-4</v>
      </c>
      <c r="R50" s="10">
        <v>3.2880499000000002E-5</v>
      </c>
      <c r="S50" s="10">
        <v>0.10083499</v>
      </c>
      <c r="T50" s="10">
        <v>1.7325047E-2</v>
      </c>
      <c r="U50" s="10">
        <v>9.5394955E-3</v>
      </c>
      <c r="V50" s="10">
        <v>1.6690746E-6</v>
      </c>
    </row>
    <row r="51" spans="1:22" outlineLevel="1" x14ac:dyDescent="0.3">
      <c r="A51" t="s">
        <v>1025</v>
      </c>
      <c r="B51" t="s">
        <v>402</v>
      </c>
      <c r="C51" s="245">
        <v>0.11164934999999999</v>
      </c>
      <c r="D51" s="10">
        <v>8.4705730000000007E-2</v>
      </c>
      <c r="E51" s="10">
        <v>6.2843546999999996E-3</v>
      </c>
      <c r="F51" s="10">
        <v>6.1382051000000003E-3</v>
      </c>
      <c r="G51" s="10">
        <v>3.2246867E-4</v>
      </c>
      <c r="H51" s="10">
        <v>3.5693391999999998E-5</v>
      </c>
      <c r="I51" s="10">
        <v>1.5025755E-5</v>
      </c>
      <c r="J51" s="10">
        <v>6.5481693000000001E-5</v>
      </c>
      <c r="K51" s="10">
        <v>9.7848223999999998E-6</v>
      </c>
      <c r="L51" s="10">
        <v>6.2507074000000006E-5</v>
      </c>
      <c r="M51" s="10">
        <v>3.1923971000000002E-6</v>
      </c>
      <c r="N51" s="10">
        <v>4.5068363999999997E-6</v>
      </c>
      <c r="O51" s="10">
        <v>1.5909189000000001E-4</v>
      </c>
      <c r="P51" s="10">
        <v>7.8665451999999995E-8</v>
      </c>
      <c r="Q51" s="10">
        <v>5.6571725999999997E-5</v>
      </c>
      <c r="R51" s="10">
        <v>2.9494851E-6</v>
      </c>
      <c r="S51" s="10">
        <v>1.0090531999999999E-2</v>
      </c>
      <c r="T51" s="10">
        <v>2.3987918999999998E-3</v>
      </c>
      <c r="U51" s="10">
        <v>1.2934856E-3</v>
      </c>
      <c r="V51" s="10">
        <v>9.0186832999999999E-7</v>
      </c>
    </row>
    <row r="52" spans="1:22" outlineLevel="1" x14ac:dyDescent="0.3">
      <c r="A52" t="s">
        <v>1026</v>
      </c>
      <c r="B52" t="s">
        <v>403</v>
      </c>
      <c r="C52" s="245">
        <v>2.9592118999999999E-6</v>
      </c>
      <c r="D52" s="10">
        <v>2.5331515E-6</v>
      </c>
      <c r="E52" s="10">
        <v>9.0192832000000005E-8</v>
      </c>
      <c r="F52" s="10">
        <v>1.4522079000000001E-7</v>
      </c>
      <c r="G52" s="10">
        <v>6.1132763000000003E-9</v>
      </c>
      <c r="H52" s="10">
        <v>3.4844806000000001E-10</v>
      </c>
      <c r="I52" s="10">
        <v>1.8914386000000001E-10</v>
      </c>
      <c r="J52" s="10">
        <v>1.1200601E-9</v>
      </c>
      <c r="K52" s="10">
        <v>1.3457406999999999E-10</v>
      </c>
      <c r="L52" s="10">
        <v>7.1931688000000001E-10</v>
      </c>
      <c r="M52" s="10">
        <v>3.7306115999999999E-11</v>
      </c>
      <c r="N52" s="10">
        <v>8.5929748999999998E-11</v>
      </c>
      <c r="O52" s="10">
        <v>1.7068589000000001E-9</v>
      </c>
      <c r="P52" s="10">
        <v>1.3339767000000001E-12</v>
      </c>
      <c r="Q52" s="10">
        <v>1.3384027999999999E-9</v>
      </c>
      <c r="R52" s="10">
        <v>3.8281632000000001E-11</v>
      </c>
      <c r="S52" s="10">
        <v>1.29304E-7</v>
      </c>
      <c r="T52" s="10">
        <v>2.3875511000000001E-8</v>
      </c>
      <c r="U52" s="10">
        <v>2.5613455999999999E-8</v>
      </c>
      <c r="V52" s="10">
        <v>2.0872485000000001E-11</v>
      </c>
    </row>
    <row r="53" spans="1:22" outlineLevel="1" x14ac:dyDescent="0.3">
      <c r="A53" t="s">
        <v>1027</v>
      </c>
      <c r="B53" t="s">
        <v>404</v>
      </c>
      <c r="C53" s="245">
        <v>1.3614189E-6</v>
      </c>
      <c r="D53" s="10">
        <v>1.0670706999999999E-6</v>
      </c>
      <c r="E53" s="10">
        <v>6.4109590000000005E-8</v>
      </c>
      <c r="F53" s="10">
        <v>4.9955066000000001E-8</v>
      </c>
      <c r="G53" s="10">
        <v>1.9534562E-9</v>
      </c>
      <c r="H53" s="10">
        <v>7.3752324999999995E-11</v>
      </c>
      <c r="I53" s="10">
        <v>4.8873592000000001E-11</v>
      </c>
      <c r="J53" s="10">
        <v>7.1095253000000001E-10</v>
      </c>
      <c r="K53" s="10">
        <v>4.7649038999999999E-11</v>
      </c>
      <c r="L53" s="10">
        <v>3.8500368999999999E-9</v>
      </c>
      <c r="M53" s="10">
        <v>1.5424031000000001E-10</v>
      </c>
      <c r="N53" s="10">
        <v>5.3750595999999997E-12</v>
      </c>
      <c r="O53" s="10">
        <v>5.2363595999999996E-10</v>
      </c>
      <c r="P53" s="10">
        <v>1.0663760000000001E-12</v>
      </c>
      <c r="Q53" s="10">
        <v>4.6040238999999998E-10</v>
      </c>
      <c r="R53" s="10">
        <v>1.1008807999999999E-11</v>
      </c>
      <c r="S53" s="10">
        <v>1.4980226E-7</v>
      </c>
      <c r="T53" s="10">
        <v>1.7679932999999999E-8</v>
      </c>
      <c r="U53" s="10">
        <v>4.9579200999999998E-9</v>
      </c>
      <c r="V53" s="10">
        <v>2.9182419999999998E-12</v>
      </c>
    </row>
    <row r="54" spans="1:22" outlineLevel="1" x14ac:dyDescent="0.3">
      <c r="A54" t="s">
        <v>1028</v>
      </c>
      <c r="B54" t="s">
        <v>404</v>
      </c>
      <c r="C54" s="245">
        <v>2.8058893999999999E-8</v>
      </c>
      <c r="D54" s="10">
        <v>1.9164846E-8</v>
      </c>
      <c r="E54" s="10">
        <v>1.6801216999999999E-9</v>
      </c>
      <c r="F54" s="10">
        <v>2.6821383999999999E-9</v>
      </c>
      <c r="G54" s="10">
        <v>1.2946792000000001E-10</v>
      </c>
      <c r="H54" s="10">
        <v>2.8670778999999999E-12</v>
      </c>
      <c r="I54" s="10">
        <v>1.8955119000000002E-12</v>
      </c>
      <c r="J54" s="10">
        <v>7.7188958999999994E-11</v>
      </c>
      <c r="K54" s="10">
        <v>8.3384428999999998E-12</v>
      </c>
      <c r="L54" s="10">
        <v>4.4984126E-11</v>
      </c>
      <c r="M54" s="10">
        <v>1.8796531999999998E-12</v>
      </c>
      <c r="N54" s="10">
        <v>3.1342311999999998E-13</v>
      </c>
      <c r="O54" s="10">
        <v>1.6637686999999999E-11</v>
      </c>
      <c r="P54" s="10">
        <v>4.9755402000000002E-14</v>
      </c>
      <c r="Q54" s="10">
        <v>2.4719472999999999E-11</v>
      </c>
      <c r="R54" s="10">
        <v>4.8376101000000001E-13</v>
      </c>
      <c r="S54" s="10">
        <v>3.4965927999999999E-9</v>
      </c>
      <c r="T54" s="10">
        <v>3.5909995000000002E-10</v>
      </c>
      <c r="U54" s="10">
        <v>3.672101E-10</v>
      </c>
      <c r="V54" s="10">
        <v>5.9492387E-14</v>
      </c>
    </row>
    <row r="55" spans="1:22" outlineLevel="1" x14ac:dyDescent="0.3">
      <c r="A55" t="s">
        <v>1029</v>
      </c>
      <c r="B55" t="s">
        <v>405</v>
      </c>
      <c r="C55" s="245">
        <v>0.65732860000000004</v>
      </c>
      <c r="D55" s="10">
        <v>0.60356335999999999</v>
      </c>
      <c r="E55" s="10">
        <v>1.2362100000000001E-2</v>
      </c>
      <c r="F55" s="10">
        <v>1.2604225E-2</v>
      </c>
      <c r="G55" s="10">
        <v>5.8947359E-4</v>
      </c>
      <c r="H55" s="10">
        <v>4.1706653999999999E-5</v>
      </c>
      <c r="I55" s="10">
        <v>2.6627186999999999E-5</v>
      </c>
      <c r="J55" s="10">
        <v>6.1569469999999999E-5</v>
      </c>
      <c r="K55" s="10">
        <v>1.1467597E-5</v>
      </c>
      <c r="L55" s="10">
        <v>3.3564749E-4</v>
      </c>
      <c r="M55" s="10">
        <v>1.4178898E-5</v>
      </c>
      <c r="N55" s="10">
        <v>7.8424005999999993E-6</v>
      </c>
      <c r="O55" s="10">
        <v>2.2199395E-4</v>
      </c>
      <c r="P55" s="10">
        <v>1.3412282E-7</v>
      </c>
      <c r="Q55" s="10">
        <v>1.161647E-4</v>
      </c>
      <c r="R55" s="10">
        <v>4.3053063999999996E-6</v>
      </c>
      <c r="S55" s="10">
        <v>2.1330646000000002E-2</v>
      </c>
      <c r="T55" s="10">
        <v>4.0039526999999997E-3</v>
      </c>
      <c r="U55" s="10">
        <v>2.0316716999999999E-3</v>
      </c>
      <c r="V55" s="10">
        <v>1.5289479999999999E-6</v>
      </c>
    </row>
    <row r="56" spans="1:22" outlineLevel="1" x14ac:dyDescent="0.3">
      <c r="A56" t="s">
        <v>1030</v>
      </c>
      <c r="B56" t="s">
        <v>406</v>
      </c>
      <c r="C56" s="245">
        <v>1.7025784000000001E-3</v>
      </c>
      <c r="D56" s="10">
        <v>9.7775594E-4</v>
      </c>
      <c r="E56" s="10">
        <v>1.4335804000000001E-4</v>
      </c>
      <c r="F56" s="10">
        <v>6.5108217999999997E-5</v>
      </c>
      <c r="G56" s="10">
        <v>7.8500213E-6</v>
      </c>
      <c r="H56" s="10">
        <v>2.1012341000000001E-7</v>
      </c>
      <c r="I56" s="10">
        <v>2.7615092999999998E-7</v>
      </c>
      <c r="J56" s="10">
        <v>6.3729449999999998E-7</v>
      </c>
      <c r="K56" s="10">
        <v>1.0609977E-7</v>
      </c>
      <c r="L56" s="10">
        <v>2.6727510000000002E-6</v>
      </c>
      <c r="M56" s="10">
        <v>1.1378738E-7</v>
      </c>
      <c r="N56" s="10">
        <v>2.1497136000000001E-8</v>
      </c>
      <c r="O56" s="10">
        <v>1.5887647999999999E-6</v>
      </c>
      <c r="P56" s="10">
        <v>1.5928787E-9</v>
      </c>
      <c r="Q56" s="10">
        <v>6.0005885E-7</v>
      </c>
      <c r="R56" s="10">
        <v>3.6779301999999998E-8</v>
      </c>
      <c r="S56" s="10">
        <v>4.3042923000000002E-4</v>
      </c>
      <c r="T56" s="10">
        <v>6.6102202000000004E-5</v>
      </c>
      <c r="U56" s="10">
        <v>5.7036553000000002E-6</v>
      </c>
      <c r="V56" s="10">
        <v>6.1969416999999996E-9</v>
      </c>
    </row>
    <row r="57" spans="1:22" outlineLevel="1" x14ac:dyDescent="0.3">
      <c r="A57" t="s">
        <v>1031</v>
      </c>
      <c r="B57" t="s">
        <v>407</v>
      </c>
      <c r="C57" s="245">
        <v>2.5687486999999998E-2</v>
      </c>
      <c r="D57" s="10">
        <v>1.7894736000000001E-2</v>
      </c>
      <c r="E57" s="10">
        <v>1.6931466E-3</v>
      </c>
      <c r="F57" s="10">
        <v>1.8761019999999999E-3</v>
      </c>
      <c r="G57" s="10">
        <v>1.3728402E-4</v>
      </c>
      <c r="H57" s="10">
        <v>7.6782380999999993E-6</v>
      </c>
      <c r="I57" s="10">
        <v>4.3813744000000004E-6</v>
      </c>
      <c r="J57" s="10">
        <v>1.2815438999999999E-5</v>
      </c>
      <c r="K57" s="10">
        <v>2.1988346000000002E-6</v>
      </c>
      <c r="L57" s="10">
        <v>1.546013E-5</v>
      </c>
      <c r="M57" s="10">
        <v>7.4506987999999998E-7</v>
      </c>
      <c r="N57" s="10">
        <v>2.4401129999999999E-6</v>
      </c>
      <c r="O57" s="10">
        <v>3.898567E-5</v>
      </c>
      <c r="P57" s="10">
        <v>2.2639829000000001E-8</v>
      </c>
      <c r="Q57" s="10">
        <v>1.7290776000000002E-5</v>
      </c>
      <c r="R57" s="10">
        <v>7.1846142000000001E-7</v>
      </c>
      <c r="S57" s="10">
        <v>3.0355899999999999E-3</v>
      </c>
      <c r="T57" s="10">
        <v>6.0222314000000002E-4</v>
      </c>
      <c r="U57" s="10">
        <v>3.4535220000000001E-4</v>
      </c>
      <c r="V57" s="10">
        <v>3.1645877E-7</v>
      </c>
    </row>
    <row r="58" spans="1:22" outlineLevel="1" x14ac:dyDescent="0.3">
      <c r="A58" t="s">
        <v>1032</v>
      </c>
      <c r="B58" t="s">
        <v>408</v>
      </c>
      <c r="C58" s="245">
        <v>0.37577448000000002</v>
      </c>
      <c r="D58" s="10">
        <v>0.28087240000000002</v>
      </c>
      <c r="E58" s="10">
        <v>2.0120663E-2</v>
      </c>
      <c r="F58" s="10">
        <v>2.0923831E-2</v>
      </c>
      <c r="G58" s="10">
        <v>1.2364226E-3</v>
      </c>
      <c r="H58" s="10">
        <v>8.5496172E-5</v>
      </c>
      <c r="I58" s="10">
        <v>5.0188122000000002E-5</v>
      </c>
      <c r="J58" s="10">
        <v>1.3939205E-4</v>
      </c>
      <c r="K58" s="10">
        <v>2.4460000999999999E-5</v>
      </c>
      <c r="L58" s="10">
        <v>2.3458277000000001E-4</v>
      </c>
      <c r="M58" s="10">
        <v>1.0744503999999999E-5</v>
      </c>
      <c r="N58" s="10">
        <v>1.3289774E-5</v>
      </c>
      <c r="O58" s="10">
        <v>4.4035142999999998E-4</v>
      </c>
      <c r="P58" s="10">
        <v>2.5345735000000002E-7</v>
      </c>
      <c r="Q58" s="10">
        <v>1.9284093999999999E-4</v>
      </c>
      <c r="R58" s="10">
        <v>8.0284083999999992E-6</v>
      </c>
      <c r="S58" s="10">
        <v>3.6872982999999998E-2</v>
      </c>
      <c r="T58" s="10">
        <v>7.3096037000000003E-3</v>
      </c>
      <c r="U58" s="10">
        <v>7.2354712000000003E-3</v>
      </c>
      <c r="V58" s="10">
        <v>3.4816845000000002E-6</v>
      </c>
    </row>
    <row r="59" spans="1:22" outlineLevel="1" x14ac:dyDescent="0.3">
      <c r="A59" t="s">
        <v>1033</v>
      </c>
      <c r="B59" t="s">
        <v>409</v>
      </c>
      <c r="C59" s="245">
        <v>2075.0758999999998</v>
      </c>
      <c r="D59" s="10">
        <v>1593.5568000000001</v>
      </c>
      <c r="E59" s="10">
        <v>116.07607</v>
      </c>
      <c r="F59" s="10">
        <v>51.094836999999998</v>
      </c>
      <c r="G59" s="10">
        <v>12.263472999999999</v>
      </c>
      <c r="H59" s="10">
        <v>0.11219846999999999</v>
      </c>
      <c r="I59" s="10">
        <v>9.4478048999999995E-2</v>
      </c>
      <c r="J59" s="10">
        <v>0.43331881</v>
      </c>
      <c r="K59" s="10">
        <v>5.7705565E-2</v>
      </c>
      <c r="L59" s="10">
        <v>3.2350430999999999</v>
      </c>
      <c r="M59" s="10">
        <v>0.13638484000000001</v>
      </c>
      <c r="N59" s="10">
        <v>6.8467030999999996E-3</v>
      </c>
      <c r="O59" s="10">
        <v>0.75350364999999997</v>
      </c>
      <c r="P59" s="10">
        <v>5.3374019999999996E-4</v>
      </c>
      <c r="Q59" s="10">
        <v>0.47090689000000002</v>
      </c>
      <c r="R59" s="10">
        <v>2.1294694999999999E-2</v>
      </c>
      <c r="S59" s="10">
        <v>241.15585999999999</v>
      </c>
      <c r="T59" s="10">
        <v>50.185862999999998</v>
      </c>
      <c r="U59" s="10">
        <v>5.4133586999999999</v>
      </c>
      <c r="V59" s="10">
        <v>7.4473263000000003E-3</v>
      </c>
    </row>
    <row r="60" spans="1:22" outlineLevel="1" x14ac:dyDescent="0.3">
      <c r="A60" t="s">
        <v>410</v>
      </c>
      <c r="B60" t="s">
        <v>411</v>
      </c>
      <c r="C60" s="245">
        <v>103.20368999999999</v>
      </c>
      <c r="D60" s="10">
        <v>49.949168</v>
      </c>
      <c r="E60" s="10">
        <v>6.9413936999999999</v>
      </c>
      <c r="F60" s="10">
        <v>3.5118252000000001</v>
      </c>
      <c r="G60" s="10">
        <v>1.1332878</v>
      </c>
      <c r="H60" s="10">
        <v>1.5098502999999999E-2</v>
      </c>
      <c r="I60" s="10">
        <v>3.9811065999999999E-2</v>
      </c>
      <c r="J60" s="10">
        <v>4.1711043000000003E-2</v>
      </c>
      <c r="K60" s="10">
        <v>7.4208268000000004E-3</v>
      </c>
      <c r="L60" s="10">
        <v>4.4459865000000001E-2</v>
      </c>
      <c r="M60" s="10">
        <v>2.5159443000000001E-3</v>
      </c>
      <c r="N60" s="10">
        <v>2.3630794999999999E-3</v>
      </c>
      <c r="O60" s="10">
        <v>0.10091728</v>
      </c>
      <c r="P60" s="10">
        <v>7.8084612000000001E-5</v>
      </c>
      <c r="Q60" s="10">
        <v>3.2366141000000001E-2</v>
      </c>
      <c r="R60" s="10">
        <v>1.7057049E-3</v>
      </c>
      <c r="S60" s="10">
        <v>17.801985999999999</v>
      </c>
      <c r="T60" s="10">
        <v>3.1169514</v>
      </c>
      <c r="U60" s="10">
        <v>20.460075</v>
      </c>
      <c r="V60" s="10">
        <v>5.5965940999999999E-4</v>
      </c>
    </row>
    <row r="61" spans="1:22" outlineLevel="1" x14ac:dyDescent="0.3">
      <c r="A61" t="s">
        <v>1034</v>
      </c>
      <c r="B61" t="s">
        <v>412</v>
      </c>
      <c r="C61" s="245">
        <v>4.9203748999999997</v>
      </c>
      <c r="D61" s="10">
        <v>3.5873588999999999</v>
      </c>
      <c r="E61" s="10">
        <v>0.27811425000000001</v>
      </c>
      <c r="F61" s="10">
        <v>0.26604418000000002</v>
      </c>
      <c r="G61" s="10">
        <v>2.7210303000000002E-2</v>
      </c>
      <c r="H61" s="10">
        <v>4.5947236000000004E-3</v>
      </c>
      <c r="I61" s="10">
        <v>1.7375327E-3</v>
      </c>
      <c r="J61" s="10">
        <v>4.0451844000000004E-3</v>
      </c>
      <c r="K61" s="10">
        <v>1.7909007E-3</v>
      </c>
      <c r="L61" s="10">
        <v>2.4204455E-3</v>
      </c>
      <c r="M61" s="10">
        <v>2.9271458999999999E-4</v>
      </c>
      <c r="N61" s="10">
        <v>1.7709052E-3</v>
      </c>
      <c r="O61" s="10">
        <v>2.4365240999999999E-2</v>
      </c>
      <c r="P61" s="10">
        <v>1.0240608000000001E-3</v>
      </c>
      <c r="Q61" s="10">
        <v>2.451951E-3</v>
      </c>
      <c r="R61" s="10">
        <v>1.8448910000000001E-4</v>
      </c>
      <c r="S61" s="10">
        <v>0.56190028999999997</v>
      </c>
      <c r="T61" s="10">
        <v>0.10147792999999999</v>
      </c>
      <c r="U61" s="10">
        <v>5.3560692E-2</v>
      </c>
      <c r="V61" s="10">
        <v>3.0147430000000001E-5</v>
      </c>
    </row>
    <row r="62" spans="1:22" outlineLevel="1" x14ac:dyDescent="0.3">
      <c r="A62" t="s">
        <v>1035</v>
      </c>
      <c r="B62" t="s">
        <v>21</v>
      </c>
      <c r="C62" s="245">
        <v>204.60318000000001</v>
      </c>
      <c r="D62" s="10">
        <v>134.91864000000001</v>
      </c>
      <c r="E62" s="10">
        <v>13.953720000000001</v>
      </c>
      <c r="F62" s="10">
        <v>17.984838</v>
      </c>
      <c r="G62" s="10">
        <v>1.6116729999999999</v>
      </c>
      <c r="H62" s="10">
        <v>0.31424141</v>
      </c>
      <c r="I62" s="10">
        <v>8.7636473000000006E-2</v>
      </c>
      <c r="J62" s="10">
        <v>0.14034476000000001</v>
      </c>
      <c r="K62" s="10">
        <v>2.9364963000000001E-2</v>
      </c>
      <c r="L62" s="10">
        <v>3.0677696000000001E-2</v>
      </c>
      <c r="M62" s="10">
        <v>3.3982741000000002E-3</v>
      </c>
      <c r="N62" s="10">
        <v>2.6717612000000002E-2</v>
      </c>
      <c r="O62" s="10">
        <v>1.1821689</v>
      </c>
      <c r="P62" s="10">
        <v>3.4648331999999999E-4</v>
      </c>
      <c r="Q62" s="10">
        <v>0.16575421000000001</v>
      </c>
      <c r="R62" s="10">
        <v>1.0650208E-2</v>
      </c>
      <c r="S62" s="10">
        <v>26.705762</v>
      </c>
      <c r="T62" s="10">
        <v>4.6155821000000001</v>
      </c>
      <c r="U62" s="10">
        <v>2.8190696000000002</v>
      </c>
      <c r="V62" s="10">
        <v>2.5978717000000001E-3</v>
      </c>
    </row>
    <row r="63" spans="1:22" outlineLevel="1" x14ac:dyDescent="0.3">
      <c r="A63" t="s">
        <v>1036</v>
      </c>
      <c r="B63" t="s">
        <v>413</v>
      </c>
      <c r="C63" s="245">
        <v>2.9413187999999999E-3</v>
      </c>
      <c r="D63" s="10">
        <v>8.6695629000000003E-4</v>
      </c>
      <c r="E63" s="10">
        <v>4.7856474999999999E-4</v>
      </c>
      <c r="F63" s="10">
        <v>6.7091155999999997E-6</v>
      </c>
      <c r="G63" s="10">
        <v>5.9375893000000003E-6</v>
      </c>
      <c r="H63" s="10">
        <v>9.5214122000000001E-8</v>
      </c>
      <c r="I63" s="10">
        <v>3.9584645000000003E-8</v>
      </c>
      <c r="J63" s="10">
        <v>1.1305762E-7</v>
      </c>
      <c r="K63" s="10">
        <v>2.1331199000000001E-8</v>
      </c>
      <c r="L63" s="10">
        <v>1.9145649999999999E-6</v>
      </c>
      <c r="M63" s="10">
        <v>7.6408012999999999E-8</v>
      </c>
      <c r="N63" s="10">
        <v>3.4572224000000001E-9</v>
      </c>
      <c r="O63" s="10">
        <v>7.7469795999999998E-7</v>
      </c>
      <c r="P63" s="10">
        <v>7.7091639999999995E-10</v>
      </c>
      <c r="Q63" s="10">
        <v>6.1833426000000005E-8</v>
      </c>
      <c r="R63" s="10">
        <v>2.3612131000000001E-9</v>
      </c>
      <c r="S63" s="10">
        <v>1.1603414E-3</v>
      </c>
      <c r="T63" s="10">
        <v>2.8469592000000002E-4</v>
      </c>
      <c r="U63" s="10">
        <v>1.3501008E-4</v>
      </c>
      <c r="V63" s="10">
        <v>3.8332792E-10</v>
      </c>
    </row>
  </sheetData>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6" tint="0.59999389629810485"/>
    <outlinePr summaryBelow="0"/>
  </sheetPr>
  <dimension ref="A1:W81"/>
  <sheetViews>
    <sheetView zoomScale="60" zoomScaleNormal="60" workbookViewId="0">
      <selection activeCell="C24" sqref="C24"/>
    </sheetView>
  </sheetViews>
  <sheetFormatPr defaultRowHeight="14.4" outlineLevelRow="1" x14ac:dyDescent="0.3"/>
  <cols>
    <col min="1" max="1" width="35.5546875" bestFit="1" customWidth="1"/>
    <col min="2" max="2" width="13.88671875" customWidth="1"/>
    <col min="4" max="23" width="13.21875" customWidth="1"/>
  </cols>
  <sheetData>
    <row r="1" spans="1:23" x14ac:dyDescent="0.3">
      <c r="A1" t="s">
        <v>678</v>
      </c>
      <c r="B1" t="s">
        <v>1180</v>
      </c>
      <c r="C1" s="218"/>
      <c r="D1" s="218"/>
      <c r="E1" s="218"/>
      <c r="F1" s="218"/>
      <c r="G1" s="218"/>
      <c r="H1" s="218"/>
      <c r="I1" s="218"/>
      <c r="J1" s="218"/>
      <c r="K1" s="218"/>
      <c r="L1" s="218"/>
      <c r="M1" s="218"/>
      <c r="N1" s="218"/>
      <c r="O1" s="218"/>
      <c r="P1" s="218"/>
      <c r="Q1" s="218"/>
      <c r="R1" s="218"/>
      <c r="S1" s="218"/>
      <c r="T1" s="218"/>
      <c r="U1" s="218"/>
      <c r="V1" s="218"/>
    </row>
    <row r="2" spans="1:23" x14ac:dyDescent="0.3">
      <c r="A2" t="s">
        <v>389</v>
      </c>
      <c r="B2" t="s">
        <v>1023</v>
      </c>
      <c r="C2" s="218"/>
      <c r="D2" s="218"/>
      <c r="E2" s="218"/>
      <c r="F2" s="218"/>
      <c r="G2" s="218"/>
      <c r="H2" s="218"/>
      <c r="I2" s="218"/>
      <c r="J2" s="218"/>
      <c r="K2" s="218"/>
      <c r="L2" s="218"/>
      <c r="M2" s="218"/>
      <c r="N2" s="218"/>
      <c r="O2" s="218"/>
      <c r="P2" s="218"/>
      <c r="Q2" s="218"/>
      <c r="R2" s="218"/>
      <c r="S2" s="218"/>
      <c r="T2" s="218"/>
      <c r="U2" s="218"/>
      <c r="V2" s="218"/>
    </row>
    <row r="3" spans="1:23" x14ac:dyDescent="0.3">
      <c r="A3" t="s">
        <v>391</v>
      </c>
      <c r="B3" t="s">
        <v>392</v>
      </c>
      <c r="C3" s="218"/>
      <c r="D3" s="218"/>
      <c r="E3" s="218"/>
      <c r="F3" s="218"/>
      <c r="G3" s="218"/>
      <c r="H3" s="218"/>
      <c r="I3" s="218"/>
      <c r="J3" s="218"/>
      <c r="K3" s="218"/>
      <c r="L3" s="218"/>
      <c r="M3" s="218"/>
      <c r="N3" s="218"/>
      <c r="O3" s="218"/>
      <c r="P3" s="218"/>
      <c r="Q3" s="218"/>
      <c r="R3" s="218"/>
      <c r="S3" s="218"/>
      <c r="T3" s="218"/>
      <c r="U3" s="218"/>
      <c r="V3" s="218"/>
    </row>
    <row r="4" spans="1:23" x14ac:dyDescent="0.3">
      <c r="A4" t="s">
        <v>393</v>
      </c>
      <c r="B4" t="s">
        <v>394</v>
      </c>
      <c r="C4" s="218"/>
      <c r="D4" s="218"/>
      <c r="E4" s="218"/>
      <c r="F4" s="218"/>
      <c r="G4" s="218"/>
      <c r="H4" s="218"/>
      <c r="I4" s="218"/>
      <c r="J4" s="218"/>
      <c r="K4" s="218"/>
      <c r="L4" s="218"/>
      <c r="M4" s="218"/>
      <c r="N4" s="218"/>
      <c r="O4" s="218"/>
      <c r="P4" s="218"/>
      <c r="Q4" s="218"/>
      <c r="R4" s="218"/>
      <c r="S4" s="218"/>
      <c r="T4" s="218"/>
      <c r="U4" s="218"/>
      <c r="V4" s="218"/>
    </row>
    <row r="6" spans="1:23" s="384" customFormat="1" ht="22.95" customHeight="1" x14ac:dyDescent="0.3">
      <c r="A6" s="383" t="s">
        <v>869</v>
      </c>
      <c r="C6" s="385"/>
      <c r="D6" s="385"/>
      <c r="E6" s="385"/>
      <c r="F6" s="385"/>
      <c r="G6" s="385"/>
      <c r="H6" s="385"/>
      <c r="I6" s="385"/>
      <c r="J6" s="385"/>
      <c r="K6" s="385"/>
      <c r="L6" s="385"/>
      <c r="M6" s="385"/>
      <c r="N6" s="385"/>
      <c r="O6" s="385"/>
      <c r="P6" s="385"/>
      <c r="Q6" s="385"/>
      <c r="R6" s="385"/>
      <c r="S6" s="385"/>
      <c r="T6" s="385"/>
      <c r="U6" s="385"/>
      <c r="V6" s="385"/>
    </row>
    <row r="7" spans="1:23" s="246" customFormat="1" ht="100.8" outlineLevel="1" x14ac:dyDescent="0.3">
      <c r="A7" s="246" t="s">
        <v>395</v>
      </c>
      <c r="B7" s="246" t="s">
        <v>396</v>
      </c>
      <c r="C7" s="290" t="s">
        <v>684</v>
      </c>
      <c r="D7" s="246" t="s">
        <v>792</v>
      </c>
      <c r="E7" s="246" t="s">
        <v>875</v>
      </c>
      <c r="F7" s="246" t="s">
        <v>594</v>
      </c>
      <c r="G7" s="246" t="s">
        <v>593</v>
      </c>
      <c r="H7" s="246" t="s">
        <v>1051</v>
      </c>
      <c r="I7" s="391" t="s">
        <v>699</v>
      </c>
      <c r="J7" s="391" t="s">
        <v>700</v>
      </c>
      <c r="K7" s="391" t="s">
        <v>701</v>
      </c>
      <c r="L7" s="391" t="s">
        <v>702</v>
      </c>
      <c r="M7" s="391" t="s">
        <v>701</v>
      </c>
      <c r="N7" s="391" t="s">
        <v>685</v>
      </c>
      <c r="O7" s="391" t="s">
        <v>696</v>
      </c>
      <c r="P7" s="391" t="s">
        <v>685</v>
      </c>
      <c r="Q7" s="391" t="s">
        <v>696</v>
      </c>
      <c r="R7" s="391" t="s">
        <v>691</v>
      </c>
      <c r="S7" s="391" t="s">
        <v>692</v>
      </c>
      <c r="T7" s="391" t="s">
        <v>530</v>
      </c>
      <c r="U7" s="391" t="s">
        <v>698</v>
      </c>
      <c r="V7" s="391" t="s">
        <v>512</v>
      </c>
      <c r="W7" s="246" t="s">
        <v>698</v>
      </c>
    </row>
    <row r="8" spans="1:23" outlineLevel="1" x14ac:dyDescent="0.3">
      <c r="A8" t="s">
        <v>397</v>
      </c>
      <c r="B8" t="s">
        <v>398</v>
      </c>
      <c r="C8" s="10">
        <v>14.524419999999999</v>
      </c>
      <c r="D8" s="10">
        <v>8.7338456999999998</v>
      </c>
      <c r="E8" s="10">
        <v>1.2528971</v>
      </c>
      <c r="F8" s="10">
        <v>0.47928706999999998</v>
      </c>
      <c r="G8" s="10">
        <v>0.85474799000000001</v>
      </c>
      <c r="H8" s="10">
        <v>9.4848157000000002E-2</v>
      </c>
      <c r="I8" s="10">
        <v>0.68118067000000004</v>
      </c>
      <c r="J8" s="10">
        <v>9.1121154000000006E-3</v>
      </c>
      <c r="K8" s="10">
        <v>1.6123395999999999E-3</v>
      </c>
      <c r="L8" s="10">
        <v>3.019136E-3</v>
      </c>
      <c r="M8" s="10">
        <v>7.2438427000000001E-4</v>
      </c>
      <c r="N8" s="10">
        <v>0.24087201999999999</v>
      </c>
      <c r="O8" s="10">
        <v>1.1986124000000001E-2</v>
      </c>
      <c r="P8" s="10">
        <v>0.13369502</v>
      </c>
      <c r="Q8" s="10">
        <v>6.6528487000000001E-3</v>
      </c>
      <c r="R8" s="10">
        <v>0.16094918999999999</v>
      </c>
      <c r="S8" s="10">
        <v>1.5863571999999999E-2</v>
      </c>
      <c r="T8" s="10">
        <v>5.9828266999999997E-2</v>
      </c>
      <c r="U8" s="10">
        <v>0.95794630000000003</v>
      </c>
      <c r="V8" s="10">
        <v>0.52345357999999997</v>
      </c>
      <c r="W8" s="10">
        <v>0.30189822999999999</v>
      </c>
    </row>
    <row r="9" spans="1:23" outlineLevel="1" x14ac:dyDescent="0.3">
      <c r="A9" t="s">
        <v>399</v>
      </c>
      <c r="B9" t="s">
        <v>400</v>
      </c>
      <c r="C9" s="10">
        <v>1.2238034000000001E-6</v>
      </c>
      <c r="D9" s="10">
        <v>8.1242910000000005E-7</v>
      </c>
      <c r="E9" s="10">
        <v>1.3756749000000001E-7</v>
      </c>
      <c r="F9" s="10">
        <v>2.6358211000000001E-8</v>
      </c>
      <c r="G9" s="10">
        <v>7.5436169000000006E-8</v>
      </c>
      <c r="H9" s="10">
        <v>5.2399549999999998E-9</v>
      </c>
      <c r="I9" s="10">
        <v>6.4363473000000001E-8</v>
      </c>
      <c r="J9" s="10">
        <v>4.8837958000000001E-10</v>
      </c>
      <c r="K9" s="10">
        <v>8.2416373000000005E-11</v>
      </c>
      <c r="L9" s="10">
        <v>6.1539655999999997E-11</v>
      </c>
      <c r="M9" s="10">
        <v>3.7027637E-11</v>
      </c>
      <c r="N9" s="10">
        <v>9.5428581999999993E-9</v>
      </c>
      <c r="O9" s="10">
        <v>6.0989058000000005E-10</v>
      </c>
      <c r="P9" s="10">
        <v>5.2967239999999999E-9</v>
      </c>
      <c r="Q9" s="10">
        <v>3.3851724999999999E-10</v>
      </c>
      <c r="R9" s="10">
        <v>9.3968118999999993E-9</v>
      </c>
      <c r="S9" s="10">
        <v>9.5201103999999998E-10</v>
      </c>
      <c r="T9" s="10">
        <v>3.8261005999999996E-9</v>
      </c>
      <c r="U9" s="10">
        <v>6.0419506000000004E-9</v>
      </c>
      <c r="V9" s="10">
        <v>6.3830647000000001E-8</v>
      </c>
      <c r="W9" s="10">
        <v>1.9041299000000001E-9</v>
      </c>
    </row>
    <row r="10" spans="1:23" outlineLevel="1" x14ac:dyDescent="0.3">
      <c r="A10" t="s">
        <v>1024</v>
      </c>
      <c r="B10" t="s">
        <v>401</v>
      </c>
      <c r="C10" s="10">
        <v>0.3101505</v>
      </c>
      <c r="D10" s="10">
        <v>0.18243907000000001</v>
      </c>
      <c r="E10" s="10">
        <v>3.8104471000000001E-2</v>
      </c>
      <c r="F10" s="10">
        <v>7.5870861000000003E-3</v>
      </c>
      <c r="G10" s="10">
        <v>2.4683249000000001E-2</v>
      </c>
      <c r="H10" s="10">
        <v>2.8524665999999999E-3</v>
      </c>
      <c r="I10" s="10">
        <v>3.0586729E-2</v>
      </c>
      <c r="J10" s="10">
        <v>2.1270206999999999E-4</v>
      </c>
      <c r="K10" s="10">
        <v>9.5019059000000001E-5</v>
      </c>
      <c r="L10" s="10">
        <v>3.5040424999999999E-5</v>
      </c>
      <c r="M10" s="10">
        <v>4.2689711999999998E-5</v>
      </c>
      <c r="N10" s="10">
        <v>3.4834796E-3</v>
      </c>
      <c r="O10" s="10">
        <v>4.5195350000000001E-4</v>
      </c>
      <c r="P10" s="10">
        <v>1.9334909E-3</v>
      </c>
      <c r="Q10" s="10">
        <v>2.5085492000000002E-4</v>
      </c>
      <c r="R10" s="10">
        <v>4.9582539E-3</v>
      </c>
      <c r="S10" s="10">
        <v>6.7447771000000002E-4</v>
      </c>
      <c r="T10" s="10">
        <v>2.9145620999999999E-3</v>
      </c>
      <c r="U10" s="10">
        <v>5.4253269000000002E-3</v>
      </c>
      <c r="V10" s="10">
        <v>1.7097702000000001E-3</v>
      </c>
      <c r="W10" s="10">
        <v>1.7098E-3</v>
      </c>
    </row>
    <row r="11" spans="1:23" outlineLevel="1" x14ac:dyDescent="0.3">
      <c r="A11" t="s">
        <v>1025</v>
      </c>
      <c r="B11" t="s">
        <v>402</v>
      </c>
      <c r="C11" s="10">
        <v>8.8905829000000006E-2</v>
      </c>
      <c r="D11" s="10">
        <v>5.4815774999999997E-2</v>
      </c>
      <c r="E11" s="10">
        <v>6.4771745999999998E-3</v>
      </c>
      <c r="F11" s="10">
        <v>1.4729272E-3</v>
      </c>
      <c r="G11" s="10">
        <v>1.3765707E-2</v>
      </c>
      <c r="H11" s="10">
        <v>2.9371266999999999E-4</v>
      </c>
      <c r="I11" s="10">
        <v>2.3178114000000001E-3</v>
      </c>
      <c r="J11" s="10">
        <v>2.8427599999999999E-5</v>
      </c>
      <c r="K11" s="10">
        <v>4.2697058999999998E-6</v>
      </c>
      <c r="L11" s="10">
        <v>9.8957546999999998E-6</v>
      </c>
      <c r="M11" s="10">
        <v>1.9182732000000001E-6</v>
      </c>
      <c r="N11" s="10">
        <v>7.7759735999999996E-4</v>
      </c>
      <c r="O11" s="10">
        <v>4.0541662999999997E-5</v>
      </c>
      <c r="P11" s="10">
        <v>4.3160220000000002E-4</v>
      </c>
      <c r="Q11" s="10">
        <v>2.2502483E-5</v>
      </c>
      <c r="R11" s="10">
        <v>3.4488267000000001E-3</v>
      </c>
      <c r="S11" s="10">
        <v>1.7614045E-4</v>
      </c>
      <c r="T11" s="10">
        <v>2.6936385999999998E-4</v>
      </c>
      <c r="U11" s="10">
        <v>2.9315230000000001E-3</v>
      </c>
      <c r="V11" s="10">
        <v>6.9623734999999995E-4</v>
      </c>
      <c r="W11" s="10">
        <v>9.2387391999999998E-4</v>
      </c>
    </row>
    <row r="12" spans="1:23" outlineLevel="1" x14ac:dyDescent="0.3">
      <c r="A12" t="s">
        <v>1026</v>
      </c>
      <c r="B12" t="s">
        <v>403</v>
      </c>
      <c r="C12" s="10">
        <v>5.2813627999999997E-6</v>
      </c>
      <c r="D12" s="10">
        <v>4.6106646000000001E-6</v>
      </c>
      <c r="E12" s="10">
        <v>2.6983027E-7</v>
      </c>
      <c r="F12" s="10">
        <v>3.3670883000000003E-8</v>
      </c>
      <c r="G12" s="10">
        <v>1.6087196E-7</v>
      </c>
      <c r="H12" s="10">
        <v>3.3720996999999999E-9</v>
      </c>
      <c r="I12" s="10">
        <v>3.5330059000000002E-8</v>
      </c>
      <c r="J12" s="10">
        <v>3.5665707000000001E-10</v>
      </c>
      <c r="K12" s="10">
        <v>7.0738033999999995E-11</v>
      </c>
      <c r="L12" s="10">
        <v>1.0070186E-10</v>
      </c>
      <c r="M12" s="10">
        <v>3.1780847999999997E-11</v>
      </c>
      <c r="N12" s="10">
        <v>1.8396795E-8</v>
      </c>
      <c r="O12" s="10">
        <v>5.2619388999999998E-10</v>
      </c>
      <c r="P12" s="10">
        <v>1.0211065E-8</v>
      </c>
      <c r="Q12" s="10">
        <v>2.9206174000000002E-10</v>
      </c>
      <c r="R12" s="10">
        <v>3.9688295999999999E-8</v>
      </c>
      <c r="S12" s="10">
        <v>2.0583643E-9</v>
      </c>
      <c r="T12" s="10">
        <v>4.5565934000000001E-9</v>
      </c>
      <c r="U12" s="10">
        <v>6.7846013000000005E-8</v>
      </c>
      <c r="V12" s="10">
        <v>2.1059219999999999E-9</v>
      </c>
      <c r="W12" s="10">
        <v>2.1381774E-8</v>
      </c>
    </row>
    <row r="13" spans="1:23" outlineLevel="1" x14ac:dyDescent="0.3">
      <c r="A13" t="s">
        <v>1027</v>
      </c>
      <c r="B13" t="s">
        <v>404</v>
      </c>
      <c r="C13" s="10">
        <v>1.3933687E-6</v>
      </c>
      <c r="D13" s="10">
        <v>1.651161E-7</v>
      </c>
      <c r="E13" s="10">
        <v>1.3738612E-8</v>
      </c>
      <c r="F13" s="10">
        <v>1.1663757E-8</v>
      </c>
      <c r="G13" s="10">
        <v>8.1975309999999999E-7</v>
      </c>
      <c r="H13" s="10">
        <v>1.0994615999999999E-9</v>
      </c>
      <c r="I13" s="10">
        <v>1.3116406E-7</v>
      </c>
      <c r="J13" s="10">
        <v>9.3959019E-11</v>
      </c>
      <c r="K13" s="10">
        <v>1.5039331999999999E-11</v>
      </c>
      <c r="L13" s="10">
        <v>2.161085E-11</v>
      </c>
      <c r="M13" s="10">
        <v>6.7567997000000003E-12</v>
      </c>
      <c r="N13" s="10">
        <v>6.3283854000000001E-9</v>
      </c>
      <c r="O13" s="10">
        <v>1.5131975999999999E-10</v>
      </c>
      <c r="P13" s="10">
        <v>3.5125442E-9</v>
      </c>
      <c r="Q13" s="10">
        <v>8.3989406999999999E-11</v>
      </c>
      <c r="R13" s="10">
        <v>2.1242571999999999E-7</v>
      </c>
      <c r="S13" s="10">
        <v>8.5102066999999995E-9</v>
      </c>
      <c r="T13" s="10">
        <v>6.1115888E-9</v>
      </c>
      <c r="U13" s="10">
        <v>9.4857454999999996E-9</v>
      </c>
      <c r="V13" s="10">
        <v>1.0972548E-9</v>
      </c>
      <c r="W13" s="10">
        <v>2.9894471000000002E-9</v>
      </c>
    </row>
    <row r="14" spans="1:23" outlineLevel="1" x14ac:dyDescent="0.3">
      <c r="A14" t="s">
        <v>1028</v>
      </c>
      <c r="B14" t="s">
        <v>404</v>
      </c>
      <c r="C14" s="10">
        <v>2.1887225000000002E-8</v>
      </c>
      <c r="D14" s="10">
        <v>7.2593213999999997E-9</v>
      </c>
      <c r="E14" s="10">
        <v>3.355145E-10</v>
      </c>
      <c r="F14" s="10">
        <v>6.0375095E-10</v>
      </c>
      <c r="G14" s="10">
        <v>9.6294439000000006E-9</v>
      </c>
      <c r="H14" s="10">
        <v>3.1545575000000002E-11</v>
      </c>
      <c r="I14" s="10">
        <v>3.7044991000000001E-10</v>
      </c>
      <c r="J14" s="10">
        <v>4.3823366000000001E-12</v>
      </c>
      <c r="K14" s="10">
        <v>7.5072841000000004E-13</v>
      </c>
      <c r="L14" s="10">
        <v>6.9648180000000001E-13</v>
      </c>
      <c r="M14" s="10">
        <v>3.3728370000000002E-13</v>
      </c>
      <c r="N14" s="10">
        <v>3.3977746E-10</v>
      </c>
      <c r="O14" s="10">
        <v>6.6494575000000004E-12</v>
      </c>
      <c r="P14" s="10">
        <v>1.8859207000000001E-10</v>
      </c>
      <c r="Q14" s="10">
        <v>3.6907538999999996E-12</v>
      </c>
      <c r="R14" s="10">
        <v>2.4819983999999998E-9</v>
      </c>
      <c r="S14" s="10">
        <v>1.0370983999999999E-10</v>
      </c>
      <c r="T14" s="10">
        <v>2.2773698E-10</v>
      </c>
      <c r="U14" s="10">
        <v>1.9338000000000001E-10</v>
      </c>
      <c r="V14" s="10">
        <v>4.4553398000000001E-11</v>
      </c>
      <c r="W14" s="10">
        <v>6.0944001000000001E-11</v>
      </c>
    </row>
    <row r="15" spans="1:23" outlineLevel="1" x14ac:dyDescent="0.3">
      <c r="A15" t="s">
        <v>1029</v>
      </c>
      <c r="B15" t="s">
        <v>405</v>
      </c>
      <c r="C15" s="10">
        <v>0.48630303000000003</v>
      </c>
      <c r="D15" s="10">
        <v>0.35198705000000002</v>
      </c>
      <c r="E15" s="10">
        <v>2.3647069999999999E-2</v>
      </c>
      <c r="F15" s="10">
        <v>2.9932576999999998E-3</v>
      </c>
      <c r="G15" s="10">
        <v>7.2120347000000001E-2</v>
      </c>
      <c r="H15" s="10">
        <v>4.2510056000000002E-4</v>
      </c>
      <c r="I15" s="10">
        <v>5.2107133000000002E-3</v>
      </c>
      <c r="J15" s="10">
        <v>4.0104504E-5</v>
      </c>
      <c r="K15" s="10">
        <v>8.0264621999999994E-6</v>
      </c>
      <c r="L15" s="10">
        <v>1.2140447999999999E-5</v>
      </c>
      <c r="M15" s="10">
        <v>3.6060908000000002E-6</v>
      </c>
      <c r="N15" s="10">
        <v>1.5967227999999999E-3</v>
      </c>
      <c r="O15" s="10">
        <v>5.9177881999999999E-5</v>
      </c>
      <c r="P15" s="10">
        <v>8.8625442E-4</v>
      </c>
      <c r="Q15" s="10">
        <v>3.2846438999999998E-5</v>
      </c>
      <c r="R15" s="10">
        <v>1.8519344E-2</v>
      </c>
      <c r="S15" s="10">
        <v>7.8232045000000002E-4</v>
      </c>
      <c r="T15" s="10">
        <v>7.2446816000000004E-4</v>
      </c>
      <c r="U15" s="10">
        <v>4.9698455999999998E-3</v>
      </c>
      <c r="V15" s="10">
        <v>7.1838825999999997E-4</v>
      </c>
      <c r="W15" s="10">
        <v>1.5662543999999999E-3</v>
      </c>
    </row>
    <row r="16" spans="1:23" outlineLevel="1" x14ac:dyDescent="0.3">
      <c r="A16" t="s">
        <v>1030</v>
      </c>
      <c r="B16" t="s">
        <v>406</v>
      </c>
      <c r="C16" s="10">
        <v>1.1569535E-3</v>
      </c>
      <c r="D16" s="10">
        <v>3.0707616E-4</v>
      </c>
      <c r="E16" s="10">
        <v>2.4191736999999999E-5</v>
      </c>
      <c r="F16" s="10">
        <v>1.6188237E-5</v>
      </c>
      <c r="G16" s="10">
        <v>5.7390383E-4</v>
      </c>
      <c r="H16" s="10">
        <v>2.7863742000000001E-6</v>
      </c>
      <c r="I16" s="10">
        <v>3.0851340999999999E-5</v>
      </c>
      <c r="J16" s="10">
        <v>2.3276908999999999E-7</v>
      </c>
      <c r="K16" s="10">
        <v>8.7629581E-8</v>
      </c>
      <c r="L16" s="10">
        <v>5.9970140000000005E-8</v>
      </c>
      <c r="M16" s="10">
        <v>3.9369801999999998E-8</v>
      </c>
      <c r="N16" s="10">
        <v>8.2480103000000002E-6</v>
      </c>
      <c r="O16" s="10">
        <v>5.0554386000000004E-7</v>
      </c>
      <c r="P16" s="10">
        <v>4.5780239999999999E-6</v>
      </c>
      <c r="Q16" s="10">
        <v>2.8060003000000001E-7</v>
      </c>
      <c r="R16" s="10">
        <v>1.4746898999999999E-4</v>
      </c>
      <c r="S16" s="10">
        <v>6.2782169000000002E-6</v>
      </c>
      <c r="T16" s="10">
        <v>6.9164806999999996E-6</v>
      </c>
      <c r="U16" s="10">
        <v>2.0143158999999998E-5</v>
      </c>
      <c r="V16" s="10">
        <v>7.6893735000000002E-7</v>
      </c>
      <c r="W16" s="10">
        <v>6.3481472000000004E-6</v>
      </c>
    </row>
    <row r="17" spans="1:23" outlineLevel="1" x14ac:dyDescent="0.3">
      <c r="A17" t="s">
        <v>1031</v>
      </c>
      <c r="B17" t="s">
        <v>407</v>
      </c>
      <c r="C17" s="10">
        <v>2.1680194E-2</v>
      </c>
      <c r="D17" s="10">
        <v>1.2265547E-2</v>
      </c>
      <c r="E17" s="10">
        <v>1.9064541E-3</v>
      </c>
      <c r="F17" s="10">
        <v>4.4499838E-4</v>
      </c>
      <c r="G17" s="10">
        <v>3.4117421000000002E-3</v>
      </c>
      <c r="H17" s="10">
        <v>6.1429240000000001E-5</v>
      </c>
      <c r="I17" s="10">
        <v>6.9610258000000005E-4</v>
      </c>
      <c r="J17" s="10">
        <v>7.2444421000000003E-6</v>
      </c>
      <c r="K17" s="10">
        <v>1.3576626999999999E-6</v>
      </c>
      <c r="L17" s="10">
        <v>2.1882057999999999E-6</v>
      </c>
      <c r="M17" s="10">
        <v>6.0996426000000004E-7</v>
      </c>
      <c r="N17" s="10">
        <v>2.3766752000000001E-4</v>
      </c>
      <c r="O17" s="10">
        <v>9.8754934999999994E-6</v>
      </c>
      <c r="P17" s="10">
        <v>1.3191637E-4</v>
      </c>
      <c r="Q17" s="10">
        <v>5.4813519000000002E-6</v>
      </c>
      <c r="R17" s="10">
        <v>8.5301243000000001E-4</v>
      </c>
      <c r="S17" s="10">
        <v>4.1109217999999999E-5</v>
      </c>
      <c r="T17" s="10">
        <v>7.6075858000000006E-5</v>
      </c>
      <c r="U17" s="10">
        <v>1.0286492E-3</v>
      </c>
      <c r="V17" s="10">
        <v>1.7455237E-4</v>
      </c>
      <c r="W17" s="10">
        <v>3.2418037000000002E-4</v>
      </c>
    </row>
    <row r="18" spans="1:23" outlineLevel="1" x14ac:dyDescent="0.3">
      <c r="A18" t="s">
        <v>1032</v>
      </c>
      <c r="B18" t="s">
        <v>408</v>
      </c>
      <c r="C18" s="10">
        <v>0.29548868</v>
      </c>
      <c r="D18" s="10">
        <v>0.17525404999999999</v>
      </c>
      <c r="E18" s="10">
        <v>2.0946584000000001E-2</v>
      </c>
      <c r="F18" s="10">
        <v>4.9619649999999996E-3</v>
      </c>
      <c r="G18" s="10">
        <v>5.1340706999999999E-2</v>
      </c>
      <c r="H18" s="10">
        <v>6.7961032999999996E-4</v>
      </c>
      <c r="I18" s="10">
        <v>6.5898166000000003E-3</v>
      </c>
      <c r="J18" s="10">
        <v>7.8539081999999999E-5</v>
      </c>
      <c r="K18" s="10">
        <v>1.5552211999999999E-5</v>
      </c>
      <c r="L18" s="10">
        <v>2.4344331000000001E-5</v>
      </c>
      <c r="M18" s="10">
        <v>6.9872239999999996E-6</v>
      </c>
      <c r="N18" s="10">
        <v>2.6506633999999999E-3</v>
      </c>
      <c r="O18" s="10">
        <v>1.1035317E-4</v>
      </c>
      <c r="P18" s="10">
        <v>1.4712397999999999E-3</v>
      </c>
      <c r="Q18" s="10">
        <v>6.1251071000000001E-5</v>
      </c>
      <c r="R18" s="10">
        <v>1.2943100000000001E-2</v>
      </c>
      <c r="S18" s="10">
        <v>5.9282781999999996E-4</v>
      </c>
      <c r="T18" s="10">
        <v>9.6792598E-4</v>
      </c>
      <c r="U18" s="10">
        <v>1.1317215E-2</v>
      </c>
      <c r="V18" s="10">
        <v>1.909317E-3</v>
      </c>
      <c r="W18" s="10">
        <v>3.5666375999999999E-3</v>
      </c>
    </row>
    <row r="19" spans="1:23" outlineLevel="1" x14ac:dyDescent="0.3">
      <c r="A19" t="s">
        <v>1033</v>
      </c>
      <c r="B19" t="s">
        <v>409</v>
      </c>
      <c r="C19" s="10">
        <v>1640.604</v>
      </c>
      <c r="D19" s="10">
        <v>650.23272999999995</v>
      </c>
      <c r="E19" s="10">
        <v>30.501353000000002</v>
      </c>
      <c r="F19" s="10">
        <v>12.329857000000001</v>
      </c>
      <c r="G19" s="10">
        <v>691.38692000000003</v>
      </c>
      <c r="H19" s="10">
        <v>1.2429291</v>
      </c>
      <c r="I19" s="10">
        <v>19.100909000000001</v>
      </c>
      <c r="J19" s="10">
        <v>0.13578488999999999</v>
      </c>
      <c r="K19" s="10">
        <v>2.8550854000000001E-2</v>
      </c>
      <c r="L19" s="10">
        <v>3.1662401999999999E-2</v>
      </c>
      <c r="M19" s="10">
        <v>1.2827191999999999E-2</v>
      </c>
      <c r="N19" s="10">
        <v>6.4727733000000001</v>
      </c>
      <c r="O19" s="10">
        <v>0.29270274000000002</v>
      </c>
      <c r="P19" s="10">
        <v>3.5926860999999999</v>
      </c>
      <c r="Q19" s="10">
        <v>0.16246343999999999</v>
      </c>
      <c r="R19" s="10">
        <v>178.49345</v>
      </c>
      <c r="S19" s="10">
        <v>7.5250311999999999</v>
      </c>
      <c r="T19" s="10">
        <v>5.6277007000000001</v>
      </c>
      <c r="U19" s="10">
        <v>24.207533999999999</v>
      </c>
      <c r="V19" s="10">
        <v>1.5970511999999999</v>
      </c>
      <c r="W19" s="10">
        <v>7.629041</v>
      </c>
    </row>
    <row r="20" spans="1:23" outlineLevel="1" x14ac:dyDescent="0.3">
      <c r="A20" t="s">
        <v>410</v>
      </c>
      <c r="B20" t="s">
        <v>411</v>
      </c>
      <c r="C20" s="10">
        <v>56.578724000000001</v>
      </c>
      <c r="D20" s="10">
        <v>31.406414999999999</v>
      </c>
      <c r="E20" s="10">
        <v>3.5769796</v>
      </c>
      <c r="F20" s="10">
        <v>0.89815465000000005</v>
      </c>
      <c r="G20" s="10">
        <v>10.605626000000001</v>
      </c>
      <c r="H20" s="10">
        <v>0.24189551000000001</v>
      </c>
      <c r="I20" s="10">
        <v>2.8154777000000002</v>
      </c>
      <c r="J20" s="10">
        <v>2.2436889000000002E-2</v>
      </c>
      <c r="K20" s="10">
        <v>2.5131938E-2</v>
      </c>
      <c r="L20" s="10">
        <v>4.2137896000000001E-3</v>
      </c>
      <c r="M20" s="10">
        <v>1.1291158000000001E-2</v>
      </c>
      <c r="N20" s="10">
        <v>0.44488347</v>
      </c>
      <c r="O20" s="10">
        <v>2.3445487000000001E-2</v>
      </c>
      <c r="P20" s="10">
        <v>0.24693072999999999</v>
      </c>
      <c r="Q20" s="10">
        <v>1.3013321E-2</v>
      </c>
      <c r="R20" s="10">
        <v>2.4530723000000001</v>
      </c>
      <c r="S20" s="10">
        <v>0.13881719000000001</v>
      </c>
      <c r="T20" s="10">
        <v>0.99396057999999998</v>
      </c>
      <c r="U20" s="10">
        <v>1.8191729000000001</v>
      </c>
      <c r="V20" s="10">
        <v>0.26449112000000002</v>
      </c>
      <c r="W20" s="10">
        <v>0.57331509999999997</v>
      </c>
    </row>
    <row r="21" spans="1:23" outlineLevel="1" x14ac:dyDescent="0.3">
      <c r="A21" t="s">
        <v>1034</v>
      </c>
      <c r="B21" t="s">
        <v>412</v>
      </c>
      <c r="C21" s="10">
        <v>4.7385327000000004</v>
      </c>
      <c r="D21" s="10">
        <v>3.0825930000000001</v>
      </c>
      <c r="E21" s="10">
        <v>0.12935573</v>
      </c>
      <c r="F21" s="10">
        <v>8.2622859000000007E-2</v>
      </c>
      <c r="G21" s="10">
        <v>0.63674947000000004</v>
      </c>
      <c r="H21" s="10">
        <v>4.0917640999999998E-2</v>
      </c>
      <c r="I21" s="10">
        <v>0.39138276</v>
      </c>
      <c r="J21" s="10">
        <v>4.0377286999999998E-3</v>
      </c>
      <c r="K21" s="10">
        <v>2.3155708000000001E-3</v>
      </c>
      <c r="L21" s="10">
        <v>1.1961655000000001E-3</v>
      </c>
      <c r="M21" s="10">
        <v>1.0403286000000001E-3</v>
      </c>
      <c r="N21" s="10">
        <v>3.3702889999999999E-2</v>
      </c>
      <c r="O21" s="10">
        <v>2.5358645999999999E-3</v>
      </c>
      <c r="P21" s="10">
        <v>1.8706649999999998E-2</v>
      </c>
      <c r="Q21" s="10">
        <v>1.4075212E-3</v>
      </c>
      <c r="R21" s="10">
        <v>0.13354804000000001</v>
      </c>
      <c r="S21" s="10">
        <v>1.6150522E-2</v>
      </c>
      <c r="T21" s="10">
        <v>1.5737735999999999E-2</v>
      </c>
      <c r="U21" s="10">
        <v>9.7994218999999994E-2</v>
      </c>
      <c r="V21" s="10">
        <v>1.5655057E-2</v>
      </c>
      <c r="W21" s="10">
        <v>3.0883027E-2</v>
      </c>
    </row>
    <row r="22" spans="1:23" outlineLevel="1" x14ac:dyDescent="0.3">
      <c r="A22" t="s">
        <v>1035</v>
      </c>
      <c r="B22" t="s">
        <v>21</v>
      </c>
      <c r="C22" s="10">
        <v>161.80246</v>
      </c>
      <c r="D22" s="10">
        <v>93.158559999999994</v>
      </c>
      <c r="E22" s="10">
        <v>17.732279999999999</v>
      </c>
      <c r="F22" s="10">
        <v>4.3729456999999998</v>
      </c>
      <c r="G22" s="10">
        <v>8.0111564000000008</v>
      </c>
      <c r="H22" s="10">
        <v>1.4915342</v>
      </c>
      <c r="I22" s="10">
        <v>11.074934000000001</v>
      </c>
      <c r="J22" s="10">
        <v>0.20109024</v>
      </c>
      <c r="K22" s="10">
        <v>2.1632861E-2</v>
      </c>
      <c r="L22" s="10">
        <v>9.5565288999999998E-2</v>
      </c>
      <c r="M22" s="10">
        <v>9.7191093000000006E-3</v>
      </c>
      <c r="N22" s="10">
        <v>2.2783471999999998</v>
      </c>
      <c r="O22" s="10">
        <v>0.14639068999999999</v>
      </c>
      <c r="P22" s="10">
        <v>1.2645872</v>
      </c>
      <c r="Q22" s="10">
        <v>8.1253545999999996E-2</v>
      </c>
      <c r="R22" s="10">
        <v>1.6926413</v>
      </c>
      <c r="S22" s="10">
        <v>0.18749971000000001</v>
      </c>
      <c r="T22" s="10">
        <v>0.71770858999999998</v>
      </c>
      <c r="U22" s="10">
        <v>8.4443818999999998</v>
      </c>
      <c r="V22" s="10">
        <v>8.1589679000000004</v>
      </c>
      <c r="W22" s="10">
        <v>2.6612597</v>
      </c>
    </row>
    <row r="23" spans="1:23" outlineLevel="1" x14ac:dyDescent="0.3">
      <c r="A23" t="s">
        <v>1036</v>
      </c>
      <c r="B23" t="s">
        <v>413</v>
      </c>
      <c r="C23" s="10">
        <v>1.121401E-3</v>
      </c>
      <c r="D23" s="10">
        <v>5.2983629999999999E-4</v>
      </c>
      <c r="E23" s="10">
        <v>8.3796888000000005E-6</v>
      </c>
      <c r="F23" s="10">
        <v>3.7828451000000001E-6</v>
      </c>
      <c r="G23" s="10">
        <v>4.2314909000000002E-4</v>
      </c>
      <c r="H23" s="10">
        <v>2.9628445999999998E-6</v>
      </c>
      <c r="I23" s="10">
        <v>2.3675217E-5</v>
      </c>
      <c r="J23" s="10">
        <v>1.6041657E-7</v>
      </c>
      <c r="K23" s="10">
        <v>1.5926732999999999E-8</v>
      </c>
      <c r="L23" s="10">
        <v>2.8104816E-8</v>
      </c>
      <c r="M23" s="10">
        <v>7.1554869999999999E-9</v>
      </c>
      <c r="N23" s="10">
        <v>8.4992119000000001E-7</v>
      </c>
      <c r="O23" s="10">
        <v>3.2455668000000003E-8</v>
      </c>
      <c r="P23" s="10">
        <v>4.7174524000000002E-7</v>
      </c>
      <c r="Q23" s="10">
        <v>1.8014383999999998E-8</v>
      </c>
      <c r="R23" s="10">
        <v>1.0563609E-4</v>
      </c>
      <c r="S23" s="10">
        <v>4.2158107999999997E-6</v>
      </c>
      <c r="T23" s="10">
        <v>1.6292863E-5</v>
      </c>
      <c r="U23" s="10">
        <v>1.2460074E-6</v>
      </c>
      <c r="V23" s="10">
        <v>2.4784548E-7</v>
      </c>
      <c r="W23" s="10">
        <v>3.9268111999999998E-7</v>
      </c>
    </row>
    <row r="26" spans="1:23" s="389" customFormat="1" ht="22.95" customHeight="1" x14ac:dyDescent="0.3">
      <c r="A26" s="388" t="s">
        <v>870</v>
      </c>
      <c r="C26" s="390"/>
      <c r="D26" s="390"/>
      <c r="E26" s="390"/>
      <c r="F26" s="390"/>
      <c r="G26" s="390"/>
      <c r="H26" s="390"/>
      <c r="I26" s="390"/>
      <c r="J26" s="390"/>
      <c r="K26" s="390"/>
      <c r="L26" s="390"/>
      <c r="M26" s="390"/>
      <c r="N26" s="390"/>
      <c r="O26" s="390"/>
      <c r="P26" s="390"/>
      <c r="Q26" s="390"/>
      <c r="R26" s="390"/>
      <c r="S26" s="390"/>
      <c r="T26" s="390"/>
      <c r="U26" s="390"/>
      <c r="V26" s="390"/>
    </row>
    <row r="27" spans="1:23" s="246" customFormat="1" ht="100.8" outlineLevel="1" x14ac:dyDescent="0.3">
      <c r="A27" s="246" t="s">
        <v>395</v>
      </c>
      <c r="B27" s="246" t="s">
        <v>396</v>
      </c>
      <c r="C27" s="290" t="s">
        <v>684</v>
      </c>
      <c r="D27" s="246" t="s">
        <v>793</v>
      </c>
      <c r="E27" s="246" t="s">
        <v>875</v>
      </c>
      <c r="F27" s="246" t="s">
        <v>594</v>
      </c>
      <c r="G27" s="246" t="s">
        <v>593</v>
      </c>
      <c r="H27" s="246" t="s">
        <v>1051</v>
      </c>
      <c r="I27" s="391" t="s">
        <v>699</v>
      </c>
      <c r="J27" s="391" t="s">
        <v>700</v>
      </c>
      <c r="K27" s="391" t="s">
        <v>701</v>
      </c>
      <c r="L27" s="391" t="s">
        <v>702</v>
      </c>
      <c r="M27" s="391" t="s">
        <v>701</v>
      </c>
      <c r="N27" s="391" t="s">
        <v>685</v>
      </c>
      <c r="O27" s="391" t="s">
        <v>696</v>
      </c>
      <c r="P27" s="391" t="s">
        <v>685</v>
      </c>
      <c r="Q27" s="391" t="s">
        <v>696</v>
      </c>
      <c r="R27" s="391" t="s">
        <v>691</v>
      </c>
      <c r="S27" s="391" t="s">
        <v>692</v>
      </c>
      <c r="T27" s="391" t="s">
        <v>530</v>
      </c>
      <c r="U27" s="391" t="s">
        <v>698</v>
      </c>
      <c r="V27" s="391" t="s">
        <v>512</v>
      </c>
      <c r="W27" s="246" t="s">
        <v>698</v>
      </c>
    </row>
    <row r="28" spans="1:23" outlineLevel="1" x14ac:dyDescent="0.3">
      <c r="A28" t="s">
        <v>397</v>
      </c>
      <c r="B28" t="s">
        <v>398</v>
      </c>
      <c r="C28" s="10">
        <v>16.189344999999999</v>
      </c>
      <c r="D28" s="289">
        <v>10.092205999999999</v>
      </c>
      <c r="E28" s="289">
        <v>1.3795402999999999</v>
      </c>
      <c r="F28" s="289">
        <v>0.43905095999999999</v>
      </c>
      <c r="G28" s="289">
        <v>0.85811738999999998</v>
      </c>
      <c r="H28" s="289">
        <v>9.8458639000000001E-2</v>
      </c>
      <c r="I28" s="289">
        <v>0.78375207000000002</v>
      </c>
      <c r="J28" s="289">
        <v>9.0558144000000007E-3</v>
      </c>
      <c r="K28" s="289">
        <v>1.6023774E-3</v>
      </c>
      <c r="L28" s="289">
        <v>2.9380608E-3</v>
      </c>
      <c r="M28" s="289">
        <v>7.0493179999999995E-4</v>
      </c>
      <c r="N28" s="289">
        <v>0.23980635</v>
      </c>
      <c r="O28" s="289">
        <v>1.1933094999999999E-2</v>
      </c>
      <c r="P28" s="289">
        <v>0.13624939999999999</v>
      </c>
      <c r="Q28" s="289">
        <v>6.7799580999999996E-3</v>
      </c>
      <c r="R28" s="289">
        <v>0.15866420000000001</v>
      </c>
      <c r="S28" s="289">
        <v>1.5638356999999999E-2</v>
      </c>
      <c r="T28" s="289">
        <v>5.9828266999999997E-2</v>
      </c>
      <c r="U28" s="289">
        <v>1.0179596</v>
      </c>
      <c r="V28" s="289">
        <v>0.55624684999999996</v>
      </c>
      <c r="W28" s="10">
        <v>0.32081152000000002</v>
      </c>
    </row>
    <row r="29" spans="1:23" outlineLevel="1" x14ac:dyDescent="0.3">
      <c r="A29" t="s">
        <v>399</v>
      </c>
      <c r="B29" t="s">
        <v>400</v>
      </c>
      <c r="C29" s="10">
        <v>1.3323905999999999E-6</v>
      </c>
      <c r="D29" s="289">
        <v>8.9782214999999999E-7</v>
      </c>
      <c r="E29" s="289">
        <v>1.4837943999999999E-7</v>
      </c>
      <c r="F29" s="289">
        <v>2.4145441E-8</v>
      </c>
      <c r="G29" s="289">
        <v>7.5733536999999996E-8</v>
      </c>
      <c r="H29" s="289">
        <v>5.4394187000000002E-9</v>
      </c>
      <c r="I29" s="289">
        <v>7.4055250000000004E-8</v>
      </c>
      <c r="J29" s="289">
        <v>4.8536203000000001E-10</v>
      </c>
      <c r="K29" s="289">
        <v>8.1907147000000006E-11</v>
      </c>
      <c r="L29" s="289">
        <v>5.9887083000000002E-11</v>
      </c>
      <c r="M29" s="289">
        <v>3.6033304999999999E-11</v>
      </c>
      <c r="N29" s="289">
        <v>9.5006386000000008E-9</v>
      </c>
      <c r="O29" s="289">
        <v>6.0719229999999996E-10</v>
      </c>
      <c r="P29" s="289">
        <v>5.3979233000000001E-9</v>
      </c>
      <c r="Q29" s="289">
        <v>3.4498496E-10</v>
      </c>
      <c r="R29" s="289">
        <v>9.2634054000000002E-9</v>
      </c>
      <c r="S29" s="289">
        <v>9.384953300000001E-10</v>
      </c>
      <c r="T29" s="289">
        <v>3.8261005999999996E-9</v>
      </c>
      <c r="U29" s="289">
        <v>6.4204661000000003E-9</v>
      </c>
      <c r="V29" s="289">
        <v>6.7829503000000003E-8</v>
      </c>
      <c r="W29" s="10">
        <v>2.0234195999999999E-9</v>
      </c>
    </row>
    <row r="30" spans="1:23" outlineLevel="1" x14ac:dyDescent="0.3">
      <c r="A30" t="s">
        <v>1024</v>
      </c>
      <c r="B30" t="s">
        <v>401</v>
      </c>
      <c r="C30" s="10">
        <v>0.40864486999999999</v>
      </c>
      <c r="D30" s="289">
        <v>0.27228430999999997</v>
      </c>
      <c r="E30" s="289">
        <v>4.2084471999999998E-2</v>
      </c>
      <c r="F30" s="289">
        <v>6.9501507000000002E-3</v>
      </c>
      <c r="G30" s="289">
        <v>2.4780549999999998E-2</v>
      </c>
      <c r="H30" s="289">
        <v>2.9610483000000001E-3</v>
      </c>
      <c r="I30" s="289">
        <v>3.5192442999999997E-2</v>
      </c>
      <c r="J30" s="289">
        <v>2.1138784000000001E-4</v>
      </c>
      <c r="K30" s="289">
        <v>9.4431964999999997E-5</v>
      </c>
      <c r="L30" s="289">
        <v>3.4099456999999997E-5</v>
      </c>
      <c r="M30" s="289">
        <v>4.1543332E-5</v>
      </c>
      <c r="N30" s="289">
        <v>3.4680678999999999E-3</v>
      </c>
      <c r="O30" s="289">
        <v>4.4995396999999998E-4</v>
      </c>
      <c r="P30" s="289">
        <v>1.9704321999999999E-3</v>
      </c>
      <c r="Q30" s="289">
        <v>2.5564776000000001E-4</v>
      </c>
      <c r="R30" s="289">
        <v>4.8878615999999996E-3</v>
      </c>
      <c r="S30" s="289">
        <v>6.6490215000000004E-4</v>
      </c>
      <c r="T30" s="289">
        <v>2.9145620999999999E-3</v>
      </c>
      <c r="U30" s="289">
        <v>5.7652121000000001E-3</v>
      </c>
      <c r="V30" s="289">
        <v>1.8168837000000001E-3</v>
      </c>
      <c r="W30" s="10">
        <v>1.8169153E-3</v>
      </c>
    </row>
    <row r="31" spans="1:23" outlineLevel="1" x14ac:dyDescent="0.3">
      <c r="A31" t="s">
        <v>1025</v>
      </c>
      <c r="B31" t="s">
        <v>402</v>
      </c>
      <c r="C31" s="10">
        <v>0.11643706</v>
      </c>
      <c r="D31" s="289">
        <v>8.1289081999999999E-2</v>
      </c>
      <c r="E31" s="289">
        <v>7.0060736999999996E-3</v>
      </c>
      <c r="F31" s="289">
        <v>1.3492751000000001E-3</v>
      </c>
      <c r="G31" s="289">
        <v>1.3819971E-2</v>
      </c>
      <c r="H31" s="289">
        <v>3.0489311999999999E-4</v>
      </c>
      <c r="I31" s="289">
        <v>2.6668248000000002E-3</v>
      </c>
      <c r="J31" s="289">
        <v>2.8251954000000001E-5</v>
      </c>
      <c r="K31" s="289">
        <v>4.2433246999999999E-6</v>
      </c>
      <c r="L31" s="289">
        <v>9.6300161999999996E-6</v>
      </c>
      <c r="M31" s="289">
        <v>1.8667603000000001E-6</v>
      </c>
      <c r="N31" s="289">
        <v>7.7415711000000003E-4</v>
      </c>
      <c r="O31" s="289">
        <v>4.0362297999999999E-5</v>
      </c>
      <c r="P31" s="289">
        <v>4.3984839999999998E-4</v>
      </c>
      <c r="Q31" s="289">
        <v>2.2932414999999999E-5</v>
      </c>
      <c r="R31" s="289">
        <v>3.3998638000000002E-3</v>
      </c>
      <c r="S31" s="289">
        <v>1.7363979E-4</v>
      </c>
      <c r="T31" s="289">
        <v>2.6936385999999998E-4</v>
      </c>
      <c r="U31" s="289">
        <v>3.1151767000000001E-3</v>
      </c>
      <c r="V31" s="289">
        <v>7.3985515999999999E-4</v>
      </c>
      <c r="W31" s="10">
        <v>9.8175266999999994E-4</v>
      </c>
    </row>
    <row r="32" spans="1:23" outlineLevel="1" x14ac:dyDescent="0.3">
      <c r="A32" t="s">
        <v>1026</v>
      </c>
      <c r="B32" t="s">
        <v>403</v>
      </c>
      <c r="C32" s="10">
        <v>2.8992345999999999E-6</v>
      </c>
      <c r="D32" s="289">
        <v>2.204789E-6</v>
      </c>
      <c r="E32" s="289">
        <v>2.8508188E-7</v>
      </c>
      <c r="F32" s="289">
        <v>3.0844215E-8</v>
      </c>
      <c r="G32" s="289">
        <v>1.6150610999999999E-7</v>
      </c>
      <c r="H32" s="289">
        <v>3.5004617999999999E-9</v>
      </c>
      <c r="I32" s="289">
        <v>4.0650018999999999E-8</v>
      </c>
      <c r="J32" s="289">
        <v>3.5445339000000001E-10</v>
      </c>
      <c r="K32" s="289">
        <v>7.0300965E-11</v>
      </c>
      <c r="L32" s="289">
        <v>9.7997634000000002E-11</v>
      </c>
      <c r="M32" s="289">
        <v>3.0927412000000002E-11</v>
      </c>
      <c r="N32" s="289">
        <v>1.8315403999999999E-8</v>
      </c>
      <c r="O32" s="289">
        <v>5.2386590000000001E-10</v>
      </c>
      <c r="P32" s="289">
        <v>1.0406158E-8</v>
      </c>
      <c r="Q32" s="289">
        <v>2.9764188000000002E-10</v>
      </c>
      <c r="R32" s="289">
        <v>3.9124841999999997E-8</v>
      </c>
      <c r="S32" s="289">
        <v>2.0291417E-9</v>
      </c>
      <c r="T32" s="289">
        <v>4.5565934000000001E-9</v>
      </c>
      <c r="U32" s="289">
        <v>7.2096422999999998E-8</v>
      </c>
      <c r="V32" s="289">
        <v>2.2378536E-9</v>
      </c>
      <c r="W32" s="10">
        <v>2.2721297000000001E-8</v>
      </c>
    </row>
    <row r="33" spans="1:23" outlineLevel="1" x14ac:dyDescent="0.3">
      <c r="A33" t="s">
        <v>1027</v>
      </c>
      <c r="B33" t="s">
        <v>404</v>
      </c>
      <c r="C33" s="10">
        <v>1.4560236E-6</v>
      </c>
      <c r="D33" s="289">
        <v>2.0665194999999999E-7</v>
      </c>
      <c r="E33" s="289">
        <v>1.5060780000000001E-8</v>
      </c>
      <c r="F33" s="289">
        <v>1.0684586E-8</v>
      </c>
      <c r="G33" s="289">
        <v>8.2298454999999996E-7</v>
      </c>
      <c r="H33" s="289">
        <v>1.1413136E-9</v>
      </c>
      <c r="I33" s="289">
        <v>1.4983034E-7</v>
      </c>
      <c r="J33" s="289">
        <v>9.3378474000000003E-11</v>
      </c>
      <c r="K33" s="289">
        <v>1.4946408000000002E-11</v>
      </c>
      <c r="L33" s="289">
        <v>2.1030516999999999E-11</v>
      </c>
      <c r="M33" s="289">
        <v>6.5753539999999997E-12</v>
      </c>
      <c r="N33" s="289">
        <v>6.3003873000000004E-9</v>
      </c>
      <c r="O33" s="289">
        <v>1.5065028999999999E-10</v>
      </c>
      <c r="P33" s="289">
        <v>3.5796549000000001E-9</v>
      </c>
      <c r="Q33" s="289">
        <v>8.5594110000000006E-11</v>
      </c>
      <c r="R33" s="289">
        <v>2.0940991000000001E-7</v>
      </c>
      <c r="S33" s="289">
        <v>8.3893872999999993E-9</v>
      </c>
      <c r="T33" s="289">
        <v>6.1115889E-9</v>
      </c>
      <c r="U33" s="289">
        <v>1.0080007000000001E-8</v>
      </c>
      <c r="V33" s="289">
        <v>1.1659954999999999E-9</v>
      </c>
      <c r="W33" s="10">
        <v>3.1767295999999999E-9</v>
      </c>
    </row>
    <row r="34" spans="1:23" outlineLevel="1" x14ac:dyDescent="0.3">
      <c r="A34" t="s">
        <v>1028</v>
      </c>
      <c r="B34" t="s">
        <v>404</v>
      </c>
      <c r="C34" s="10">
        <v>2.6110505999999999E-8</v>
      </c>
      <c r="D34" s="289">
        <v>1.1346824999999999E-8</v>
      </c>
      <c r="E34" s="289">
        <v>4.4293814000000001E-10</v>
      </c>
      <c r="F34" s="289">
        <v>5.5306610000000003E-10</v>
      </c>
      <c r="G34" s="10">
        <v>9.6674029999999992E-9</v>
      </c>
      <c r="H34" s="10">
        <v>3.2746385999999998E-11</v>
      </c>
      <c r="I34" s="10">
        <v>4.2623180999999998E-10</v>
      </c>
      <c r="J34" s="10">
        <v>4.3552594000000002E-12</v>
      </c>
      <c r="K34" s="10">
        <v>7.4608987999999998E-13</v>
      </c>
      <c r="L34" s="10">
        <v>6.7777862000000004E-13</v>
      </c>
      <c r="M34" s="10">
        <v>3.2822635000000002E-13</v>
      </c>
      <c r="N34" s="10">
        <v>3.3827421E-10</v>
      </c>
      <c r="O34" s="10">
        <v>6.6200389000000003E-12</v>
      </c>
      <c r="P34" s="10">
        <v>1.9219532000000001E-10</v>
      </c>
      <c r="Q34" s="10">
        <v>3.7612695000000003E-12</v>
      </c>
      <c r="R34" s="10">
        <v>2.4467614E-9</v>
      </c>
      <c r="S34" s="10">
        <v>1.0223747E-10</v>
      </c>
      <c r="T34" s="10">
        <v>2.2773698E-10</v>
      </c>
      <c r="U34" s="10">
        <v>2.0549485E-10</v>
      </c>
      <c r="V34" s="10">
        <v>4.7344574999999999E-11</v>
      </c>
      <c r="W34" s="10">
        <v>6.4762014000000004E-11</v>
      </c>
    </row>
    <row r="35" spans="1:23" outlineLevel="1" x14ac:dyDescent="0.3">
      <c r="A35" t="s">
        <v>1029</v>
      </c>
      <c r="B35" t="s">
        <v>405</v>
      </c>
      <c r="C35" s="10">
        <v>0.82929001999999996</v>
      </c>
      <c r="D35" s="289">
        <v>0.69247806999999995</v>
      </c>
      <c r="E35" s="289">
        <v>2.5119240000000001E-2</v>
      </c>
      <c r="F35" s="289">
        <v>2.7419738999999999E-3</v>
      </c>
      <c r="G35" s="10">
        <v>7.2404644000000004E-2</v>
      </c>
      <c r="H35" s="10">
        <v>4.4128240000000001E-4</v>
      </c>
      <c r="I35" s="10">
        <v>5.9953365000000002E-3</v>
      </c>
      <c r="J35" s="10">
        <v>3.9856710999999997E-5</v>
      </c>
      <c r="K35" s="10">
        <v>7.9768691E-6</v>
      </c>
      <c r="L35" s="10">
        <v>1.1814431E-5</v>
      </c>
      <c r="M35" s="10">
        <v>3.5092535999999998E-6</v>
      </c>
      <c r="N35" s="10">
        <v>1.5896586000000001E-3</v>
      </c>
      <c r="O35" s="10">
        <v>5.8916067E-5</v>
      </c>
      <c r="P35" s="10">
        <v>9.0318720000000003E-4</v>
      </c>
      <c r="Q35" s="10">
        <v>3.3474004000000003E-5</v>
      </c>
      <c r="R35" s="10">
        <v>1.8256425E-2</v>
      </c>
      <c r="S35" s="10">
        <v>7.7121385000000005E-4</v>
      </c>
      <c r="T35" s="10">
        <v>7.2446816000000004E-4</v>
      </c>
      <c r="U35" s="10">
        <v>5.2811958999999997E-3</v>
      </c>
      <c r="V35" s="10">
        <v>7.6339376999999997E-4</v>
      </c>
      <c r="W35" s="10">
        <v>1.6643769000000001E-3</v>
      </c>
    </row>
    <row r="36" spans="1:23" outlineLevel="1" x14ac:dyDescent="0.3">
      <c r="A36" t="s">
        <v>1030</v>
      </c>
      <c r="B36" t="s">
        <v>406</v>
      </c>
      <c r="C36" s="10">
        <v>1.3339229000000001E-3</v>
      </c>
      <c r="D36" s="289">
        <v>4.7540823999999999E-4</v>
      </c>
      <c r="E36" s="289">
        <v>2.7599576E-5</v>
      </c>
      <c r="F36" s="289">
        <v>1.4829234999999999E-5</v>
      </c>
      <c r="G36" s="10">
        <v>5.7616614000000001E-4</v>
      </c>
      <c r="H36" s="10">
        <v>2.8924400999999998E-6</v>
      </c>
      <c r="I36" s="10">
        <v>3.5496892E-5</v>
      </c>
      <c r="J36" s="10">
        <v>2.3133087E-7</v>
      </c>
      <c r="K36" s="10">
        <v>8.7088143999999998E-8</v>
      </c>
      <c r="L36" s="10">
        <v>5.8359714000000003E-8</v>
      </c>
      <c r="M36" s="10">
        <v>3.8312573999999997E-8</v>
      </c>
      <c r="N36" s="10">
        <v>8.2115192999999994E-6</v>
      </c>
      <c r="O36" s="10">
        <v>5.0330722999999998E-7</v>
      </c>
      <c r="P36" s="10">
        <v>4.6654918000000004E-6</v>
      </c>
      <c r="Q36" s="10">
        <v>2.8596117999999999E-7</v>
      </c>
      <c r="R36" s="10">
        <v>1.4537537000000001E-4</v>
      </c>
      <c r="S36" s="10">
        <v>6.1890851000000003E-6</v>
      </c>
      <c r="T36" s="10">
        <v>6.9164806999999996E-6</v>
      </c>
      <c r="U36" s="10">
        <v>2.1405086000000001E-5</v>
      </c>
      <c r="V36" s="10">
        <v>8.1710967000000001E-7</v>
      </c>
      <c r="W36" s="10">
        <v>6.7458452000000003E-6</v>
      </c>
    </row>
    <row r="37" spans="1:23" outlineLevel="1" x14ac:dyDescent="0.3">
      <c r="A37" t="s">
        <v>1031</v>
      </c>
      <c r="B37" t="s">
        <v>407</v>
      </c>
      <c r="C37" s="10">
        <v>2.4014941000000001E-2</v>
      </c>
      <c r="D37" s="289">
        <v>1.4281986E-2</v>
      </c>
      <c r="E37" s="289">
        <v>2.057119E-3</v>
      </c>
      <c r="F37" s="289">
        <v>4.0764079000000001E-4</v>
      </c>
      <c r="G37" s="10">
        <v>3.4251911000000002E-3</v>
      </c>
      <c r="H37" s="10">
        <v>6.3767600000000003E-5</v>
      </c>
      <c r="I37" s="10">
        <v>8.0092073000000001E-4</v>
      </c>
      <c r="J37" s="10">
        <v>7.1996808999999996E-6</v>
      </c>
      <c r="K37" s="10">
        <v>1.3492741E-6</v>
      </c>
      <c r="L37" s="10">
        <v>2.1294442000000001E-6</v>
      </c>
      <c r="M37" s="10">
        <v>5.9358439999999997E-7</v>
      </c>
      <c r="N37" s="10">
        <v>2.3661603E-4</v>
      </c>
      <c r="O37" s="10">
        <v>9.8318022999999999E-6</v>
      </c>
      <c r="P37" s="10">
        <v>1.3443677E-4</v>
      </c>
      <c r="Q37" s="10">
        <v>5.5860786000000001E-6</v>
      </c>
      <c r="R37" s="10">
        <v>8.4090222000000002E-4</v>
      </c>
      <c r="S37" s="10">
        <v>4.0525590000000003E-5</v>
      </c>
      <c r="T37" s="10">
        <v>7.6075858000000006E-5</v>
      </c>
      <c r="U37" s="10">
        <v>1.0930919999999999E-3</v>
      </c>
      <c r="V37" s="10">
        <v>1.8548771E-4</v>
      </c>
      <c r="W37" s="10">
        <v>3.4448957999999997E-4</v>
      </c>
    </row>
    <row r="38" spans="1:23" outlineLevel="1" x14ac:dyDescent="0.3">
      <c r="A38" t="s">
        <v>1032</v>
      </c>
      <c r="B38" t="s">
        <v>408</v>
      </c>
      <c r="C38" s="10">
        <v>0.33108149999999997</v>
      </c>
      <c r="D38" s="289">
        <v>0.20750145</v>
      </c>
      <c r="E38" s="289">
        <v>2.2612481E-2</v>
      </c>
      <c r="F38" s="289">
        <v>4.5454084000000001E-3</v>
      </c>
      <c r="G38" s="10">
        <v>5.1543090999999999E-2</v>
      </c>
      <c r="H38" s="10">
        <v>7.0548032E-4</v>
      </c>
      <c r="I38" s="10">
        <v>7.5821035000000004E-3</v>
      </c>
      <c r="J38" s="10">
        <v>7.8053812000000001E-5</v>
      </c>
      <c r="K38" s="10">
        <v>1.5456119000000001E-5</v>
      </c>
      <c r="L38" s="10">
        <v>2.3690593000000001E-5</v>
      </c>
      <c r="M38" s="10">
        <v>6.7995904999999999E-6</v>
      </c>
      <c r="N38" s="10">
        <v>2.6389362999999998E-3</v>
      </c>
      <c r="O38" s="10">
        <v>1.0986494E-4</v>
      </c>
      <c r="P38" s="10">
        <v>1.4993493E-3</v>
      </c>
      <c r="Q38" s="10">
        <v>6.2421333999999998E-5</v>
      </c>
      <c r="R38" s="10">
        <v>1.2759347000000001E-2</v>
      </c>
      <c r="S38" s="10">
        <v>5.8441145E-4</v>
      </c>
      <c r="T38" s="10">
        <v>9.6792598E-4</v>
      </c>
      <c r="U38" s="10">
        <v>1.2026215E-2</v>
      </c>
      <c r="V38" s="10">
        <v>2.0289317000000001E-3</v>
      </c>
      <c r="W38" s="10">
        <v>3.7900798999999999E-3</v>
      </c>
    </row>
    <row r="39" spans="1:23" outlineLevel="1" x14ac:dyDescent="0.3">
      <c r="A39" t="s">
        <v>1033</v>
      </c>
      <c r="B39" t="s">
        <v>409</v>
      </c>
      <c r="C39" s="10">
        <v>2187.0140999999999</v>
      </c>
      <c r="D39" s="289">
        <v>1190.0071</v>
      </c>
      <c r="E39" s="289">
        <v>33.030084000000002</v>
      </c>
      <c r="F39" s="289">
        <v>11.294765999999999</v>
      </c>
      <c r="G39" s="10">
        <v>694.11234999999999</v>
      </c>
      <c r="H39" s="10">
        <v>1.2902423000000001</v>
      </c>
      <c r="I39" s="10">
        <v>16.236615</v>
      </c>
      <c r="J39" s="10">
        <v>0.13494592</v>
      </c>
      <c r="K39" s="10">
        <v>2.8374446000000001E-2</v>
      </c>
      <c r="L39" s="10">
        <v>3.0812147000000002E-2</v>
      </c>
      <c r="M39" s="10">
        <v>1.2482732999999999E-2</v>
      </c>
      <c r="N39" s="10">
        <v>6.4441363999999997</v>
      </c>
      <c r="O39" s="10">
        <v>0.29140776000000002</v>
      </c>
      <c r="P39" s="10">
        <v>3.6613280000000001</v>
      </c>
      <c r="Q39" s="10">
        <v>0.16556746999999999</v>
      </c>
      <c r="R39" s="10">
        <v>175.95938000000001</v>
      </c>
      <c r="S39" s="10">
        <v>7.4181983999999996</v>
      </c>
      <c r="T39" s="10">
        <v>5.6277007000000001</v>
      </c>
      <c r="U39" s="10">
        <v>25.724084999999999</v>
      </c>
      <c r="V39" s="10">
        <v>1.6971031000000001</v>
      </c>
      <c r="W39" s="10">
        <v>8.1069843000000006</v>
      </c>
    </row>
    <row r="40" spans="1:23" outlineLevel="1" x14ac:dyDescent="0.3">
      <c r="A40" t="s">
        <v>410</v>
      </c>
      <c r="B40" t="s">
        <v>411</v>
      </c>
      <c r="C40" s="10">
        <v>69.303237999999993</v>
      </c>
      <c r="D40" s="289">
        <v>42.935507999999999</v>
      </c>
      <c r="E40" s="289">
        <v>4.2409920999999997</v>
      </c>
      <c r="F40" s="289">
        <v>0.82275463000000004</v>
      </c>
      <c r="G40" s="10">
        <v>10.647432999999999</v>
      </c>
      <c r="H40" s="10">
        <v>0.25110347999999999</v>
      </c>
      <c r="I40" s="10">
        <v>3.2394291000000002</v>
      </c>
      <c r="J40" s="10">
        <v>2.2298258000000001E-2</v>
      </c>
      <c r="K40" s="10">
        <v>2.4976656E-2</v>
      </c>
      <c r="L40" s="10">
        <v>4.1006334000000004E-3</v>
      </c>
      <c r="M40" s="10">
        <v>1.0987948000000001E-2</v>
      </c>
      <c r="N40" s="10">
        <v>0.44291522</v>
      </c>
      <c r="O40" s="10">
        <v>2.3341759E-2</v>
      </c>
      <c r="P40" s="10">
        <v>0.2516486</v>
      </c>
      <c r="Q40" s="10">
        <v>1.3261953E-2</v>
      </c>
      <c r="R40" s="10">
        <v>2.4182459999999999</v>
      </c>
      <c r="S40" s="10">
        <v>0.13684640000000001</v>
      </c>
      <c r="T40" s="10">
        <v>0.99396057999999998</v>
      </c>
      <c r="U40" s="10">
        <v>1.9331403</v>
      </c>
      <c r="V40" s="10">
        <v>0.28106092999999999</v>
      </c>
      <c r="W40" s="10">
        <v>0.60923207999999995</v>
      </c>
    </row>
    <row r="41" spans="1:23" outlineLevel="1" x14ac:dyDescent="0.3">
      <c r="A41" t="s">
        <v>1034</v>
      </c>
      <c r="B41" t="s">
        <v>412</v>
      </c>
      <c r="C41" s="10">
        <v>4.857246</v>
      </c>
      <c r="D41" s="289">
        <v>3.1247474</v>
      </c>
      <c r="E41" s="289">
        <v>0.14279512</v>
      </c>
      <c r="F41" s="289">
        <v>7.5686675999999994E-2</v>
      </c>
      <c r="G41" s="10">
        <v>0.63925951999999997</v>
      </c>
      <c r="H41" s="10">
        <v>4.2475208E-2</v>
      </c>
      <c r="I41" s="10">
        <v>0.45031673999999999</v>
      </c>
      <c r="J41" s="10">
        <v>4.0127807999999999E-3</v>
      </c>
      <c r="K41" s="10">
        <v>2.3012636000000002E-3</v>
      </c>
      <c r="L41" s="10">
        <v>1.1640438999999999E-3</v>
      </c>
      <c r="M41" s="10">
        <v>1.0123918999999999E-3</v>
      </c>
      <c r="N41" s="10">
        <v>3.3553780999999998E-2</v>
      </c>
      <c r="O41" s="10">
        <v>2.5246454E-3</v>
      </c>
      <c r="P41" s="10">
        <v>1.9064059000000001E-2</v>
      </c>
      <c r="Q41" s="10">
        <v>1.4344132999999999E-3</v>
      </c>
      <c r="R41" s="10">
        <v>0.13165205999999999</v>
      </c>
      <c r="S41" s="10">
        <v>1.5921233E-2</v>
      </c>
      <c r="T41" s="10">
        <v>1.5737735999999999E-2</v>
      </c>
      <c r="U41" s="10">
        <v>0.10413335</v>
      </c>
      <c r="V41" s="10">
        <v>1.6635813999999999E-2</v>
      </c>
      <c r="W41" s="10">
        <v>3.2817783000000003E-2</v>
      </c>
    </row>
    <row r="42" spans="1:23" outlineLevel="1" x14ac:dyDescent="0.3">
      <c r="A42" t="s">
        <v>1035</v>
      </c>
      <c r="B42" t="s">
        <v>21</v>
      </c>
      <c r="C42" s="10">
        <v>187.04774</v>
      </c>
      <c r="D42" s="289">
        <v>114.20914999999999</v>
      </c>
      <c r="E42" s="289">
        <v>19.347097999999999</v>
      </c>
      <c r="F42" s="289">
        <v>4.0058372000000002</v>
      </c>
      <c r="G42" s="10">
        <v>8.0427362000000002</v>
      </c>
      <c r="H42" s="10">
        <v>1.5483108000000001</v>
      </c>
      <c r="I42" s="10">
        <v>12.742584000000001</v>
      </c>
      <c r="J42" s="10">
        <v>0.19984776000000001</v>
      </c>
      <c r="K42" s="10">
        <v>2.1499198000000001E-2</v>
      </c>
      <c r="L42" s="10">
        <v>9.2998997999999999E-2</v>
      </c>
      <c r="M42" s="10">
        <v>9.4581144000000002E-3</v>
      </c>
      <c r="N42" s="10">
        <v>2.2682673000000002</v>
      </c>
      <c r="O42" s="10">
        <v>0.14574303</v>
      </c>
      <c r="P42" s="10">
        <v>1.2887484</v>
      </c>
      <c r="Q42" s="10">
        <v>8.2805977000000003E-2</v>
      </c>
      <c r="R42" s="10">
        <v>1.6686109</v>
      </c>
      <c r="S42" s="10">
        <v>0.18483778000000001</v>
      </c>
      <c r="T42" s="10">
        <v>0.71770858999999998</v>
      </c>
      <c r="U42" s="10">
        <v>8.9734046000000003</v>
      </c>
      <c r="V42" s="10">
        <v>8.6701101000000005</v>
      </c>
      <c r="W42" s="10">
        <v>2.827982</v>
      </c>
    </row>
    <row r="43" spans="1:23" outlineLevel="1" x14ac:dyDescent="0.3">
      <c r="A43" t="s">
        <v>1036</v>
      </c>
      <c r="B43" t="s">
        <v>413</v>
      </c>
      <c r="C43" s="10">
        <v>1.1957285E-3</v>
      </c>
      <c r="D43" s="289">
        <v>5.9996284E-4</v>
      </c>
      <c r="E43" s="289">
        <v>8.9903176000000005E-6</v>
      </c>
      <c r="F43" s="289">
        <v>3.4652755000000002E-6</v>
      </c>
      <c r="G43" s="10">
        <v>4.2481712999999999E-4</v>
      </c>
      <c r="H43" s="10">
        <v>3.0756280000000002E-6</v>
      </c>
      <c r="I43" s="10">
        <v>2.7240204000000001E-5</v>
      </c>
      <c r="J43" s="10">
        <v>1.5942540000000001E-7</v>
      </c>
      <c r="K43" s="10">
        <v>1.5828327E-8</v>
      </c>
      <c r="L43" s="10">
        <v>2.7350095000000001E-8</v>
      </c>
      <c r="M43" s="10">
        <v>6.9633351000000002E-9</v>
      </c>
      <c r="N43" s="10">
        <v>8.4616095999999999E-7</v>
      </c>
      <c r="O43" s="10">
        <v>3.2312077E-8</v>
      </c>
      <c r="P43" s="10">
        <v>4.8075841000000003E-7</v>
      </c>
      <c r="Q43" s="10">
        <v>1.8358567E-8</v>
      </c>
      <c r="R43" s="10">
        <v>1.0413638000000001E-4</v>
      </c>
      <c r="S43" s="10">
        <v>4.1559589000000001E-6</v>
      </c>
      <c r="T43" s="10">
        <v>1.6292863E-5</v>
      </c>
      <c r="U43" s="10">
        <v>1.3240671E-6</v>
      </c>
      <c r="V43" s="10">
        <v>2.6337248E-7</v>
      </c>
      <c r="W43" s="10">
        <v>4.1728176000000002E-7</v>
      </c>
    </row>
    <row r="46" spans="1:23" s="368" customFormat="1" ht="22.95" customHeight="1" x14ac:dyDescent="0.3">
      <c r="A46" s="386" t="s">
        <v>874</v>
      </c>
      <c r="C46" s="387"/>
      <c r="D46" s="387"/>
      <c r="E46" s="387"/>
      <c r="F46" s="387"/>
      <c r="G46" s="387"/>
      <c r="H46" s="387"/>
      <c r="I46" s="387"/>
      <c r="J46" s="387"/>
      <c r="K46" s="387"/>
      <c r="L46" s="387"/>
      <c r="M46" s="387"/>
      <c r="N46" s="387"/>
      <c r="O46" s="387"/>
      <c r="P46" s="387"/>
      <c r="Q46" s="387"/>
      <c r="R46" s="387"/>
      <c r="S46" s="387"/>
      <c r="T46" s="387"/>
      <c r="U46" s="387"/>
      <c r="V46" s="387"/>
    </row>
    <row r="47" spans="1:23" s="246" customFormat="1" ht="100.8" outlineLevel="1" x14ac:dyDescent="0.3">
      <c r="A47" s="246" t="s">
        <v>395</v>
      </c>
      <c r="B47" s="246" t="s">
        <v>396</v>
      </c>
      <c r="C47" s="246" t="s">
        <v>684</v>
      </c>
      <c r="D47" s="246" t="s">
        <v>876</v>
      </c>
      <c r="E47" s="246" t="s">
        <v>875</v>
      </c>
      <c r="F47" s="246" t="s">
        <v>594</v>
      </c>
      <c r="G47" s="246" t="s">
        <v>593</v>
      </c>
      <c r="H47" s="246" t="s">
        <v>1051</v>
      </c>
      <c r="I47" s="391" t="s">
        <v>699</v>
      </c>
      <c r="J47" s="246" t="s">
        <v>700</v>
      </c>
      <c r="K47" s="246" t="s">
        <v>701</v>
      </c>
      <c r="L47" s="246" t="s">
        <v>702</v>
      </c>
      <c r="M47" s="246" t="s">
        <v>701</v>
      </c>
      <c r="N47" s="246" t="s">
        <v>685</v>
      </c>
      <c r="O47" s="246" t="s">
        <v>696</v>
      </c>
      <c r="P47" s="246" t="s">
        <v>685</v>
      </c>
      <c r="Q47" s="246" t="s">
        <v>696</v>
      </c>
      <c r="R47" s="246" t="s">
        <v>691</v>
      </c>
      <c r="S47" s="246" t="s">
        <v>692</v>
      </c>
      <c r="T47" s="246" t="s">
        <v>530</v>
      </c>
      <c r="U47" s="246" t="s">
        <v>698</v>
      </c>
      <c r="V47" s="246" t="s">
        <v>512</v>
      </c>
      <c r="W47" s="246" t="s">
        <v>698</v>
      </c>
    </row>
    <row r="48" spans="1:23" outlineLevel="1" x14ac:dyDescent="0.3">
      <c r="A48" t="s">
        <v>397</v>
      </c>
      <c r="B48" t="s">
        <v>398</v>
      </c>
      <c r="C48" s="289">
        <v>16.628299999999999</v>
      </c>
      <c r="D48" s="10">
        <v>10.328252000000001</v>
      </c>
      <c r="E48" s="289">
        <v>1.4648732</v>
      </c>
      <c r="F48" s="10">
        <v>0.43501108999999999</v>
      </c>
      <c r="G48" s="10">
        <v>0.90902671000000002</v>
      </c>
      <c r="H48" s="289">
        <v>9.9784557999999995E-2</v>
      </c>
      <c r="I48" s="289">
        <v>0.69096323999999998</v>
      </c>
      <c r="J48" s="289">
        <v>9.5361681000000007E-3</v>
      </c>
      <c r="K48" s="289">
        <v>1.6873734E-3</v>
      </c>
      <c r="L48" s="289">
        <v>3.0490351999999999E-3</v>
      </c>
      <c r="M48" s="289">
        <v>7.3155800999999995E-4</v>
      </c>
      <c r="N48" s="289">
        <v>0.25081822999999998</v>
      </c>
      <c r="O48" s="289">
        <v>1.2481061E-2</v>
      </c>
      <c r="P48" s="289">
        <v>0.14251036</v>
      </c>
      <c r="Q48" s="289">
        <v>7.0915120999999999E-3</v>
      </c>
      <c r="R48" s="289">
        <v>0.16826418000000001</v>
      </c>
      <c r="S48" s="289">
        <v>1.6584556E-2</v>
      </c>
      <c r="T48" s="289">
        <v>5.9828266999999997E-2</v>
      </c>
      <c r="U48" s="289">
        <v>1.0892904999999999</v>
      </c>
      <c r="V48" s="289">
        <v>0.59522443000000003</v>
      </c>
      <c r="W48" s="289">
        <v>0.34329156</v>
      </c>
    </row>
    <row r="49" spans="1:23" outlineLevel="1" x14ac:dyDescent="0.3">
      <c r="A49" t="s">
        <v>399</v>
      </c>
      <c r="B49" t="s">
        <v>400</v>
      </c>
      <c r="C49" s="289">
        <v>1.3680861000000001E-6</v>
      </c>
      <c r="D49" s="10">
        <v>9.2288102999999999E-7</v>
      </c>
      <c r="E49" s="289">
        <v>1.5671578999999999E-7</v>
      </c>
      <c r="F49" s="10">
        <v>2.3923269999999999E-8</v>
      </c>
      <c r="G49" s="10">
        <v>8.0226561999999994E-8</v>
      </c>
      <c r="H49" s="289">
        <v>5.5126700000000002E-9</v>
      </c>
      <c r="I49" s="289">
        <v>6.5287809999999994E-8</v>
      </c>
      <c r="J49" s="289">
        <v>5.1110741999999999E-10</v>
      </c>
      <c r="K49" s="289">
        <v>8.6251803E-11</v>
      </c>
      <c r="L49" s="289">
        <v>6.2149097000000002E-11</v>
      </c>
      <c r="M49" s="289">
        <v>3.7394329999999998E-11</v>
      </c>
      <c r="N49" s="289">
        <v>9.9369068E-9</v>
      </c>
      <c r="O49" s="289">
        <v>6.3507449E-10</v>
      </c>
      <c r="P49" s="289">
        <v>5.6459698E-9</v>
      </c>
      <c r="Q49" s="289">
        <v>3.6083778E-10</v>
      </c>
      <c r="R49" s="289">
        <v>9.8238876999999998E-9</v>
      </c>
      <c r="S49" s="289">
        <v>9.9527898999999995E-10</v>
      </c>
      <c r="T49" s="289">
        <v>3.8261005999999996E-9</v>
      </c>
      <c r="U49" s="289">
        <v>6.8703637999999998E-9</v>
      </c>
      <c r="V49" s="289">
        <v>7.2582482999999999E-8</v>
      </c>
      <c r="W49" s="289">
        <v>2.1652056000000001E-9</v>
      </c>
    </row>
    <row r="50" spans="1:23" outlineLevel="1" x14ac:dyDescent="0.3">
      <c r="A50" t="s">
        <v>1024</v>
      </c>
      <c r="B50" t="s">
        <v>401</v>
      </c>
      <c r="C50" s="289">
        <v>0.41511091</v>
      </c>
      <c r="D50" s="10">
        <v>0.27771623000000001</v>
      </c>
      <c r="E50" s="289">
        <v>4.4543095999999997E-2</v>
      </c>
      <c r="F50" s="10">
        <v>6.8861998000000002E-3</v>
      </c>
      <c r="G50" s="10">
        <v>2.6250699999999998E-2</v>
      </c>
      <c r="H50" s="289">
        <v>3.0009239999999999E-3</v>
      </c>
      <c r="I50" s="289">
        <v>3.1025990999999999E-2</v>
      </c>
      <c r="J50" s="289">
        <v>2.2260062999999999E-4</v>
      </c>
      <c r="K50" s="289">
        <v>9.9440982999999999E-5</v>
      </c>
      <c r="L50" s="289">
        <v>3.5387438999999999E-5</v>
      </c>
      <c r="M50" s="289">
        <v>4.3112477999999997E-5</v>
      </c>
      <c r="N50" s="289">
        <v>3.6273211999999998E-3</v>
      </c>
      <c r="O50" s="289">
        <v>4.7061579000000001E-4</v>
      </c>
      <c r="P50" s="289">
        <v>2.0609779000000002E-3</v>
      </c>
      <c r="Q50" s="289">
        <v>2.6739534000000002E-4</v>
      </c>
      <c r="R50" s="289">
        <v>5.1836015999999997E-3</v>
      </c>
      <c r="S50" s="289">
        <v>7.0513205000000004E-4</v>
      </c>
      <c r="T50" s="289">
        <v>2.9145620999999999E-3</v>
      </c>
      <c r="U50" s="289">
        <v>6.1691947E-3</v>
      </c>
      <c r="V50" s="289">
        <v>1.9441972E-3</v>
      </c>
      <c r="W50" s="289">
        <v>1.944231E-3</v>
      </c>
    </row>
    <row r="51" spans="1:23" outlineLevel="1" x14ac:dyDescent="0.3">
      <c r="A51" t="s">
        <v>1025</v>
      </c>
      <c r="B51" t="s">
        <v>402</v>
      </c>
      <c r="C51" s="289">
        <v>0.11972677</v>
      </c>
      <c r="D51" s="10">
        <v>8.3042244000000001E-2</v>
      </c>
      <c r="E51" s="289">
        <v>7.4307905000000002E-3</v>
      </c>
      <c r="F51" s="10">
        <v>1.3368599E-3</v>
      </c>
      <c r="G51" s="10">
        <v>1.4639865E-2</v>
      </c>
      <c r="H51" s="289">
        <v>3.0899904000000002E-4</v>
      </c>
      <c r="I51" s="289">
        <v>2.3510979999999998E-3</v>
      </c>
      <c r="J51" s="289">
        <v>2.9750542000000001E-5</v>
      </c>
      <c r="K51" s="289">
        <v>4.4684061999999999E-6</v>
      </c>
      <c r="L51" s="289">
        <v>9.9937546999999995E-6</v>
      </c>
      <c r="M51" s="289">
        <v>1.9372702999999999E-6</v>
      </c>
      <c r="N51" s="289">
        <v>8.0970631000000005E-4</v>
      </c>
      <c r="O51" s="289">
        <v>4.2215729999999998E-5</v>
      </c>
      <c r="P51" s="289">
        <v>4.6006040000000001E-4</v>
      </c>
      <c r="Q51" s="289">
        <v>2.3986210000000002E-5</v>
      </c>
      <c r="R51" s="289">
        <v>3.6055725000000002E-3</v>
      </c>
      <c r="S51" s="289">
        <v>1.8414586000000001E-4</v>
      </c>
      <c r="T51" s="289">
        <v>2.6936385999999998E-4</v>
      </c>
      <c r="U51" s="289">
        <v>3.3334647999999998E-3</v>
      </c>
      <c r="V51" s="289">
        <v>7.9169861999999998E-4</v>
      </c>
      <c r="W51" s="289">
        <v>1.0505465E-3</v>
      </c>
    </row>
    <row r="52" spans="1:23" outlineLevel="1" x14ac:dyDescent="0.3">
      <c r="A52" t="s">
        <v>1026</v>
      </c>
      <c r="B52" t="s">
        <v>403</v>
      </c>
      <c r="C52" s="289">
        <v>3.5804665999999998E-6</v>
      </c>
      <c r="D52" s="10">
        <v>2.8538615E-6</v>
      </c>
      <c r="E52" s="289">
        <v>3.0203375000000001E-7</v>
      </c>
      <c r="F52" s="10">
        <v>3.0560404999999997E-8</v>
      </c>
      <c r="G52" s="10">
        <v>1.7108775E-7</v>
      </c>
      <c r="H52" s="289">
        <v>3.5476017000000002E-9</v>
      </c>
      <c r="I52" s="289">
        <v>3.5837440999999997E-8</v>
      </c>
      <c r="J52" s="289">
        <v>3.7325490999999998E-10</v>
      </c>
      <c r="K52" s="289">
        <v>7.4029985999999994E-11</v>
      </c>
      <c r="L52" s="289">
        <v>1.0169913E-10</v>
      </c>
      <c r="M52" s="289">
        <v>3.2095580999999999E-11</v>
      </c>
      <c r="N52" s="289">
        <v>1.9156444999999999E-8</v>
      </c>
      <c r="O52" s="289">
        <v>5.4792175000000005E-10</v>
      </c>
      <c r="P52" s="289">
        <v>1.0884344000000001E-8</v>
      </c>
      <c r="Q52" s="289">
        <v>3.1131917999999998E-10</v>
      </c>
      <c r="R52" s="289">
        <v>4.1492090000000001E-8</v>
      </c>
      <c r="S52" s="289">
        <v>2.1519149000000002E-9</v>
      </c>
      <c r="T52" s="289">
        <v>4.5565934000000001E-9</v>
      </c>
      <c r="U52" s="289">
        <v>7.7148395000000001E-8</v>
      </c>
      <c r="V52" s="289">
        <v>2.3946654000000002E-9</v>
      </c>
      <c r="W52" s="289">
        <v>2.4313434E-8</v>
      </c>
    </row>
    <row r="53" spans="1:23" outlineLevel="1" x14ac:dyDescent="0.3">
      <c r="A53" t="s">
        <v>1027</v>
      </c>
      <c r="B53" t="s">
        <v>404</v>
      </c>
      <c r="C53" s="289">
        <v>1.5082442000000001E-6</v>
      </c>
      <c r="D53" s="10">
        <v>2.1239610000000001E-7</v>
      </c>
      <c r="E53" s="289">
        <v>1.6002003000000001E-8</v>
      </c>
      <c r="F53" s="10">
        <v>1.0586273000000001E-8</v>
      </c>
      <c r="G53" s="10">
        <v>8.7180954999999998E-7</v>
      </c>
      <c r="H53" s="289">
        <v>1.1566834E-9</v>
      </c>
      <c r="I53" s="289">
        <v>1.3209185E-7</v>
      </c>
      <c r="J53" s="289">
        <v>9.8331613000000005E-11</v>
      </c>
      <c r="K53" s="289">
        <v>1.5739221000000001E-11</v>
      </c>
      <c r="L53" s="289">
        <v>2.1824867E-11</v>
      </c>
      <c r="M53" s="289">
        <v>6.8237138000000004E-12</v>
      </c>
      <c r="N53" s="289">
        <v>6.5897003000000002E-9</v>
      </c>
      <c r="O53" s="289">
        <v>1.5756813E-10</v>
      </c>
      <c r="P53" s="289">
        <v>3.7441479000000003E-9</v>
      </c>
      <c r="Q53" s="289">
        <v>8.9527347E-11</v>
      </c>
      <c r="R53" s="289">
        <v>2.2208026E-7</v>
      </c>
      <c r="S53" s="289">
        <v>8.8969871999999994E-9</v>
      </c>
      <c r="T53" s="289">
        <v>6.1115889E-9</v>
      </c>
      <c r="U53" s="289">
        <v>1.0786338E-8</v>
      </c>
      <c r="V53" s="289">
        <v>1.2476996E-9</v>
      </c>
      <c r="W53" s="289">
        <v>3.3993307999999999E-9</v>
      </c>
    </row>
    <row r="54" spans="1:23" outlineLevel="1" x14ac:dyDescent="0.3">
      <c r="A54" t="s">
        <v>1028</v>
      </c>
      <c r="B54" t="s">
        <v>404</v>
      </c>
      <c r="C54" s="289">
        <v>2.7088428000000002E-8</v>
      </c>
      <c r="D54" s="10">
        <v>1.1577770999999999E-8</v>
      </c>
      <c r="E54" s="289">
        <v>4.6985493999999997E-10</v>
      </c>
      <c r="F54" s="10">
        <v>5.4797713999999998E-10</v>
      </c>
      <c r="G54" s="10">
        <v>1.0240938999999999E-8</v>
      </c>
      <c r="H54" s="289">
        <v>3.3187374E-11</v>
      </c>
      <c r="I54" s="289">
        <v>3.7576998999999999E-10</v>
      </c>
      <c r="J54" s="289">
        <v>4.5862784E-12</v>
      </c>
      <c r="K54" s="289">
        <v>7.8566523000000004E-13</v>
      </c>
      <c r="L54" s="289">
        <v>7.0337921999999999E-13</v>
      </c>
      <c r="M54" s="289">
        <v>3.4062389000000001E-13</v>
      </c>
      <c r="N54" s="289">
        <v>3.5380772000000002E-10</v>
      </c>
      <c r="O54" s="289">
        <v>6.9240301999999996E-12</v>
      </c>
      <c r="P54" s="289">
        <v>2.0102711E-10</v>
      </c>
      <c r="Q54" s="289">
        <v>3.9341081000000002E-12</v>
      </c>
      <c r="R54" s="289">
        <v>2.5948026999999998E-9</v>
      </c>
      <c r="S54" s="289">
        <v>1.0842334E-10</v>
      </c>
      <c r="T54" s="289">
        <v>2.2773698E-10</v>
      </c>
      <c r="U54" s="289">
        <v>2.1989438E-10</v>
      </c>
      <c r="V54" s="289">
        <v>5.0662126000000002E-11</v>
      </c>
      <c r="W54" s="289">
        <v>6.9300047000000004E-11</v>
      </c>
    </row>
    <row r="55" spans="1:23" outlineLevel="1" x14ac:dyDescent="0.3">
      <c r="A55" t="s">
        <v>1029</v>
      </c>
      <c r="B55" t="s">
        <v>405</v>
      </c>
      <c r="C55" s="289">
        <v>0.85310273999999997</v>
      </c>
      <c r="D55" s="10">
        <v>0.70942786000000002</v>
      </c>
      <c r="E55" s="289">
        <v>2.6602409E-2</v>
      </c>
      <c r="F55" s="10">
        <v>2.7167440000000001E-3</v>
      </c>
      <c r="G55" s="10">
        <v>7.6700175999999995E-2</v>
      </c>
      <c r="H55" s="289">
        <v>4.4722505000000001E-4</v>
      </c>
      <c r="I55" s="289">
        <v>5.2855454000000001E-3</v>
      </c>
      <c r="J55" s="289">
        <v>4.1970856999999997E-5</v>
      </c>
      <c r="K55" s="289">
        <v>8.3999914999999993E-6</v>
      </c>
      <c r="L55" s="289">
        <v>1.2260677E-5</v>
      </c>
      <c r="M55" s="289">
        <v>3.6418028E-6</v>
      </c>
      <c r="N55" s="289">
        <v>1.6626555E-3</v>
      </c>
      <c r="O55" s="289">
        <v>6.1621484999999998E-5</v>
      </c>
      <c r="P55" s="289">
        <v>9.4469064999999999E-4</v>
      </c>
      <c r="Q55" s="289">
        <v>3.5012207999999998E-5</v>
      </c>
      <c r="R55" s="289">
        <v>1.9361030000000001E-2</v>
      </c>
      <c r="S55" s="289">
        <v>8.1787614000000002E-4</v>
      </c>
      <c r="T55" s="289">
        <v>7.2446816000000004E-4</v>
      </c>
      <c r="U55" s="289">
        <v>5.6512621999999998E-3</v>
      </c>
      <c r="V55" s="289">
        <v>8.1688664E-4</v>
      </c>
      <c r="W55" s="289">
        <v>1.7810039000000001E-3</v>
      </c>
    </row>
    <row r="56" spans="1:23" outlineLevel="1" x14ac:dyDescent="0.3">
      <c r="A56" t="s">
        <v>1030</v>
      </c>
      <c r="B56" t="s">
        <v>406</v>
      </c>
      <c r="C56" s="289">
        <v>1.3820028000000001E-3</v>
      </c>
      <c r="D56" s="10">
        <v>4.8000484000000003E-4</v>
      </c>
      <c r="E56" s="289">
        <v>2.9352321000000001E-5</v>
      </c>
      <c r="F56" s="10">
        <v>1.4692785999999999E-5</v>
      </c>
      <c r="G56" s="10">
        <v>6.1034820999999995E-4</v>
      </c>
      <c r="H56" s="289">
        <v>2.9313918999999998E-6</v>
      </c>
      <c r="I56" s="289">
        <v>3.1294395999999999E-5</v>
      </c>
      <c r="J56" s="289">
        <v>2.4360151999999999E-7</v>
      </c>
      <c r="K56" s="289">
        <v>9.1707618999999997E-8</v>
      </c>
      <c r="L56" s="289">
        <v>6.0564037000000001E-8</v>
      </c>
      <c r="M56" s="289">
        <v>3.975969E-8</v>
      </c>
      <c r="N56" s="289">
        <v>8.5885913999999995E-6</v>
      </c>
      <c r="O56" s="289">
        <v>5.2641903999999998E-7</v>
      </c>
      <c r="P56" s="289">
        <v>4.8798814999999999E-6</v>
      </c>
      <c r="Q56" s="289">
        <v>2.9910172000000002E-7</v>
      </c>
      <c r="R56" s="289">
        <v>1.5417130999999999E-4</v>
      </c>
      <c r="S56" s="289">
        <v>6.5635557E-6</v>
      </c>
      <c r="T56" s="289">
        <v>6.9164806999999996E-6</v>
      </c>
      <c r="U56" s="289">
        <v>2.2904992E-5</v>
      </c>
      <c r="V56" s="289">
        <v>8.7436654000000001E-7</v>
      </c>
      <c r="W56" s="289">
        <v>7.2185429999999997E-6</v>
      </c>
    </row>
    <row r="57" spans="1:23" outlineLevel="1" x14ac:dyDescent="0.3">
      <c r="A57" t="s">
        <v>1031</v>
      </c>
      <c r="B57" t="s">
        <v>407</v>
      </c>
      <c r="C57" s="289">
        <v>2.5293197999999999E-2</v>
      </c>
      <c r="D57" s="10">
        <v>1.5143154000000001E-2</v>
      </c>
      <c r="E57" s="289">
        <v>2.1833461000000001E-3</v>
      </c>
      <c r="F57" s="10">
        <v>4.0388993999999998E-4</v>
      </c>
      <c r="G57" s="10">
        <v>3.6283965E-3</v>
      </c>
      <c r="H57" s="289">
        <v>6.4626343999999995E-5</v>
      </c>
      <c r="I57" s="289">
        <v>7.0609929999999996E-4</v>
      </c>
      <c r="J57" s="289">
        <v>7.5815784999999999E-6</v>
      </c>
      <c r="K57" s="289">
        <v>1.4208446E-6</v>
      </c>
      <c r="L57" s="289">
        <v>2.2098761999999999E-6</v>
      </c>
      <c r="M57" s="289">
        <v>6.1600486999999999E-7</v>
      </c>
      <c r="N57" s="289">
        <v>2.4748141000000001E-4</v>
      </c>
      <c r="O57" s="289">
        <v>1.0283277000000001E-5</v>
      </c>
      <c r="P57" s="289">
        <v>1.4061444000000001E-4</v>
      </c>
      <c r="Q57" s="289">
        <v>5.8427711999999999E-6</v>
      </c>
      <c r="R57" s="289">
        <v>8.9178100000000002E-4</v>
      </c>
      <c r="S57" s="289">
        <v>4.2977591000000002E-5</v>
      </c>
      <c r="T57" s="289">
        <v>7.6075858000000006E-5</v>
      </c>
      <c r="U57" s="289">
        <v>1.1696876E-3</v>
      </c>
      <c r="V57" s="289">
        <v>1.9848528999999999E-4</v>
      </c>
      <c r="W57" s="289">
        <v>3.6862880999999998E-4</v>
      </c>
    </row>
    <row r="58" spans="1:23" outlineLevel="1" x14ac:dyDescent="0.3">
      <c r="A58" t="s">
        <v>1032</v>
      </c>
      <c r="B58" t="s">
        <v>408</v>
      </c>
      <c r="C58" s="289">
        <v>0.39699728000000001</v>
      </c>
      <c r="D58" s="10">
        <v>0.26763975000000001</v>
      </c>
      <c r="E58" s="289">
        <v>2.4000127999999999E-2</v>
      </c>
      <c r="F58" s="10">
        <v>4.5035843999999998E-3</v>
      </c>
      <c r="G58" s="10">
        <v>5.4600976000000002E-2</v>
      </c>
      <c r="H58" s="289">
        <v>7.1498085999999997E-4</v>
      </c>
      <c r="I58" s="289">
        <v>6.6844542000000003E-3</v>
      </c>
      <c r="J58" s="289">
        <v>8.2194073999999995E-5</v>
      </c>
      <c r="K58" s="289">
        <v>1.6275969E-5</v>
      </c>
      <c r="L58" s="289">
        <v>2.4585417999999999E-5</v>
      </c>
      <c r="M58" s="289">
        <v>7.0564199999999996E-6</v>
      </c>
      <c r="N58" s="289">
        <v>2.760116E-3</v>
      </c>
      <c r="O58" s="289">
        <v>1.1490993E-4</v>
      </c>
      <c r="P58" s="289">
        <v>1.5682477000000001E-3</v>
      </c>
      <c r="Q58" s="289">
        <v>6.5289731999999993E-5</v>
      </c>
      <c r="R58" s="289">
        <v>1.3531351E-2</v>
      </c>
      <c r="S58" s="289">
        <v>6.1977126000000002E-4</v>
      </c>
      <c r="T58" s="289">
        <v>9.6792598E-4</v>
      </c>
      <c r="U58" s="289">
        <v>1.2868921E-2</v>
      </c>
      <c r="V58" s="289">
        <v>2.1711039000000001E-3</v>
      </c>
      <c r="W58" s="289">
        <v>4.05566E-3</v>
      </c>
    </row>
    <row r="59" spans="1:23" outlineLevel="1" x14ac:dyDescent="0.3">
      <c r="A59" t="s">
        <v>1033</v>
      </c>
      <c r="B59" t="s">
        <v>409</v>
      </c>
      <c r="C59" s="289">
        <v>2252.4025999999999</v>
      </c>
      <c r="D59" s="10">
        <v>1200.7284</v>
      </c>
      <c r="E59" s="289">
        <v>35.125940999999997</v>
      </c>
      <c r="F59" s="10">
        <v>11.190839</v>
      </c>
      <c r="G59" s="10">
        <v>735.29178000000002</v>
      </c>
      <c r="H59" s="289">
        <v>1.3076177</v>
      </c>
      <c r="I59" s="289">
        <v>14.314354</v>
      </c>
      <c r="J59" s="289">
        <v>0.14210395000000001</v>
      </c>
      <c r="K59" s="289">
        <v>2.9879531000000001E-2</v>
      </c>
      <c r="L59" s="289">
        <v>3.1975961999999997E-2</v>
      </c>
      <c r="M59" s="289">
        <v>1.2954223000000001E-2</v>
      </c>
      <c r="N59" s="289">
        <v>6.7400504000000003</v>
      </c>
      <c r="O59" s="289">
        <v>0.30478916</v>
      </c>
      <c r="P59" s="289">
        <v>3.8295740999999999</v>
      </c>
      <c r="Q59" s="289">
        <v>0.17317566000000001</v>
      </c>
      <c r="R59" s="289">
        <v>186.60579999999999</v>
      </c>
      <c r="S59" s="289">
        <v>7.8670365000000002</v>
      </c>
      <c r="T59" s="289">
        <v>5.6277008000000004</v>
      </c>
      <c r="U59" s="289">
        <v>27.526634000000001</v>
      </c>
      <c r="V59" s="289">
        <v>1.8160232999999999</v>
      </c>
      <c r="W59" s="289">
        <v>8.6750605000000007</v>
      </c>
    </row>
    <row r="60" spans="1:23" outlineLevel="1" x14ac:dyDescent="0.3">
      <c r="A60" t="s">
        <v>410</v>
      </c>
      <c r="B60" t="s">
        <v>411</v>
      </c>
      <c r="C60" s="289">
        <v>70.600329000000002</v>
      </c>
      <c r="D60" s="10">
        <v>43.341453999999999</v>
      </c>
      <c r="E60" s="289">
        <v>4.4990644</v>
      </c>
      <c r="F60" s="10">
        <v>0.81518415</v>
      </c>
      <c r="G60" s="10">
        <v>11.279111</v>
      </c>
      <c r="H60" s="289">
        <v>0.25448504</v>
      </c>
      <c r="I60" s="289">
        <v>2.8559114000000001</v>
      </c>
      <c r="J60" s="289">
        <v>2.3481040000000002E-2</v>
      </c>
      <c r="K60" s="289">
        <v>2.6301509000000001E-2</v>
      </c>
      <c r="L60" s="289">
        <v>4.2555198000000004E-3</v>
      </c>
      <c r="M60" s="289">
        <v>1.1402977E-2</v>
      </c>
      <c r="N60" s="289">
        <v>0.46325382999999998</v>
      </c>
      <c r="O60" s="289">
        <v>2.4413609999999999E-2</v>
      </c>
      <c r="P60" s="289">
        <v>0.26321240000000001</v>
      </c>
      <c r="Q60" s="289">
        <v>1.3871369E-2</v>
      </c>
      <c r="R60" s="289">
        <v>2.564562</v>
      </c>
      <c r="S60" s="289">
        <v>0.14512628999999999</v>
      </c>
      <c r="T60" s="289">
        <v>0.99396057999999998</v>
      </c>
      <c r="U60" s="289">
        <v>2.0686000999999998</v>
      </c>
      <c r="V60" s="289">
        <v>0.30075555999999998</v>
      </c>
      <c r="W60" s="289">
        <v>0.65192245999999998</v>
      </c>
    </row>
    <row r="61" spans="1:23" outlineLevel="1" x14ac:dyDescent="0.3">
      <c r="A61" t="s">
        <v>1034</v>
      </c>
      <c r="B61" t="s">
        <v>412</v>
      </c>
      <c r="C61" s="289">
        <v>5.0705292999999996</v>
      </c>
      <c r="D61" s="10">
        <v>3.3218649</v>
      </c>
      <c r="E61" s="289">
        <v>0.15176640999999999</v>
      </c>
      <c r="F61" s="10">
        <v>7.4990254000000006E-2</v>
      </c>
      <c r="G61" s="10">
        <v>0.67718471000000002</v>
      </c>
      <c r="H61" s="289">
        <v>4.3047212000000001E-2</v>
      </c>
      <c r="I61" s="289">
        <v>0.39700350000000001</v>
      </c>
      <c r="J61" s="289">
        <v>4.2256335000000001E-3</v>
      </c>
      <c r="K61" s="289">
        <v>2.4233309999999999E-3</v>
      </c>
      <c r="L61" s="289">
        <v>1.2080114000000001E-3</v>
      </c>
      <c r="M61" s="289">
        <v>1.0506313000000001E-3</v>
      </c>
      <c r="N61" s="289">
        <v>3.5094567E-2</v>
      </c>
      <c r="O61" s="289">
        <v>2.6405767999999998E-3</v>
      </c>
      <c r="P61" s="289">
        <v>1.9940095000000001E-2</v>
      </c>
      <c r="Q61" s="289">
        <v>1.5003277000000001E-3</v>
      </c>
      <c r="R61" s="289">
        <v>0.13961766</v>
      </c>
      <c r="S61" s="289">
        <v>1.6884547999999999E-2</v>
      </c>
      <c r="T61" s="289">
        <v>1.5737735999999999E-2</v>
      </c>
      <c r="U61" s="289">
        <v>0.11143023000000001</v>
      </c>
      <c r="V61" s="289">
        <v>1.7801526000000002E-2</v>
      </c>
      <c r="W61" s="289">
        <v>3.5117404999999997E-2</v>
      </c>
    </row>
    <row r="62" spans="1:23" outlineLevel="1" x14ac:dyDescent="0.3">
      <c r="A62" t="s">
        <v>1035</v>
      </c>
      <c r="B62" t="s">
        <v>21</v>
      </c>
      <c r="C62" s="289">
        <v>190.69988000000001</v>
      </c>
      <c r="D62" s="10">
        <v>116.02087</v>
      </c>
      <c r="E62" s="289">
        <v>20.498864999999999</v>
      </c>
      <c r="F62" s="10">
        <v>3.9689779999999999</v>
      </c>
      <c r="G62" s="10">
        <v>8.5198856999999997</v>
      </c>
      <c r="H62" s="289">
        <v>1.5691615000000001</v>
      </c>
      <c r="I62" s="289">
        <v>11.233983</v>
      </c>
      <c r="J62" s="289">
        <v>0.21044842</v>
      </c>
      <c r="K62" s="289">
        <v>2.2639594999999998E-2</v>
      </c>
      <c r="L62" s="289">
        <v>9.6511693999999995E-2</v>
      </c>
      <c r="M62" s="289">
        <v>9.8153597999999995E-3</v>
      </c>
      <c r="N62" s="289">
        <v>2.3724259000000001</v>
      </c>
      <c r="O62" s="289">
        <v>0.15243553000000001</v>
      </c>
      <c r="P62" s="289">
        <v>1.3479692999999999</v>
      </c>
      <c r="Q62" s="289">
        <v>8.6611094E-2</v>
      </c>
      <c r="R62" s="289">
        <v>1.7695702</v>
      </c>
      <c r="S62" s="289">
        <v>0.19602138999999999</v>
      </c>
      <c r="T62" s="289">
        <v>0.71770858999999998</v>
      </c>
      <c r="U62" s="289">
        <v>9.6021929000000004</v>
      </c>
      <c r="V62" s="289">
        <v>9.2776460000000007</v>
      </c>
      <c r="W62" s="289">
        <v>3.0261456</v>
      </c>
    </row>
    <row r="63" spans="1:23" outlineLevel="1" x14ac:dyDescent="0.3">
      <c r="A63" t="s">
        <v>1036</v>
      </c>
      <c r="B63" t="s">
        <v>413</v>
      </c>
      <c r="C63" s="289">
        <v>1.2253938E-3</v>
      </c>
      <c r="D63" s="10">
        <v>6.0034759000000002E-4</v>
      </c>
      <c r="E63" s="10">
        <v>9.5167232999999993E-6</v>
      </c>
      <c r="F63" s="10">
        <v>3.4333903E-6</v>
      </c>
      <c r="G63" s="10">
        <v>4.5002014999999997E-4</v>
      </c>
      <c r="H63" s="10">
        <v>3.1170467E-6</v>
      </c>
      <c r="I63" s="10">
        <v>2.4015222E-5</v>
      </c>
      <c r="J63" s="10">
        <v>1.6788191000000001E-7</v>
      </c>
      <c r="K63" s="10">
        <v>1.6667919000000001E-8</v>
      </c>
      <c r="L63" s="10">
        <v>2.8383144E-8</v>
      </c>
      <c r="M63" s="10">
        <v>7.2263494000000002E-9</v>
      </c>
      <c r="N63" s="10">
        <v>8.8501656999999997E-7</v>
      </c>
      <c r="O63" s="10">
        <v>3.3795843E-8</v>
      </c>
      <c r="P63" s="10">
        <v>5.0285031999999998E-7</v>
      </c>
      <c r="Q63" s="10">
        <v>1.9202184000000001E-8</v>
      </c>
      <c r="R63" s="10">
        <v>1.1043715E-4</v>
      </c>
      <c r="S63" s="10">
        <v>4.4074151999999996E-6</v>
      </c>
      <c r="T63" s="10">
        <v>1.6292863E-5</v>
      </c>
      <c r="U63" s="10">
        <v>1.4168477E-6</v>
      </c>
      <c r="V63" s="10">
        <v>2.8182763999999999E-7</v>
      </c>
      <c r="W63" s="10">
        <v>4.4652171000000001E-7</v>
      </c>
    </row>
    <row r="66" spans="11:16" x14ac:dyDescent="0.3">
      <c r="K66" s="391"/>
      <c r="L66" s="494"/>
      <c r="M66" s="494"/>
      <c r="N66" s="246"/>
      <c r="O66" s="246"/>
      <c r="P66" s="494"/>
    </row>
    <row r="67" spans="11:16" x14ac:dyDescent="0.3">
      <c r="K67" s="289"/>
      <c r="L67" s="289"/>
      <c r="M67" s="289"/>
      <c r="N67" s="289"/>
      <c r="O67" s="289"/>
      <c r="P67" s="289"/>
    </row>
    <row r="68" spans="11:16" x14ac:dyDescent="0.3">
      <c r="K68" s="289"/>
      <c r="L68" s="289"/>
      <c r="M68" s="289"/>
      <c r="N68" s="289"/>
      <c r="O68" s="289"/>
      <c r="P68" s="289"/>
    </row>
    <row r="69" spans="11:16" x14ac:dyDescent="0.3">
      <c r="K69" s="289"/>
      <c r="L69" s="289"/>
      <c r="M69" s="289"/>
      <c r="N69" s="289"/>
      <c r="O69" s="289"/>
      <c r="P69" s="289"/>
    </row>
    <row r="70" spans="11:16" x14ac:dyDescent="0.3">
      <c r="K70" s="289"/>
      <c r="L70" s="289"/>
      <c r="M70" s="289"/>
      <c r="N70" s="289"/>
      <c r="O70" s="289"/>
      <c r="P70" s="289"/>
    </row>
    <row r="71" spans="11:16" x14ac:dyDescent="0.3">
      <c r="K71" s="289"/>
      <c r="L71" s="289"/>
      <c r="M71" s="289"/>
      <c r="N71" s="289"/>
      <c r="O71" s="289"/>
      <c r="P71" s="289"/>
    </row>
    <row r="72" spans="11:16" x14ac:dyDescent="0.3">
      <c r="K72" s="289"/>
      <c r="L72" s="289"/>
      <c r="M72" s="289"/>
      <c r="N72" s="289"/>
      <c r="O72" s="289"/>
      <c r="P72" s="289"/>
    </row>
    <row r="73" spans="11:16" x14ac:dyDescent="0.3">
      <c r="K73" s="289"/>
      <c r="L73" s="289"/>
      <c r="M73" s="289"/>
      <c r="N73" s="289"/>
      <c r="O73" s="289"/>
      <c r="P73" s="289"/>
    </row>
    <row r="74" spans="11:16" x14ac:dyDescent="0.3">
      <c r="K74" s="289"/>
      <c r="L74" s="289"/>
      <c r="M74" s="289"/>
      <c r="N74" s="289"/>
      <c r="O74" s="289"/>
      <c r="P74" s="289"/>
    </row>
    <row r="75" spans="11:16" x14ac:dyDescent="0.3">
      <c r="K75" s="289"/>
      <c r="L75" s="289"/>
      <c r="M75" s="289"/>
      <c r="N75" s="289"/>
      <c r="O75" s="289"/>
      <c r="P75" s="289"/>
    </row>
    <row r="76" spans="11:16" x14ac:dyDescent="0.3">
      <c r="K76" s="289"/>
      <c r="L76" s="289"/>
      <c r="M76" s="289"/>
      <c r="N76" s="289"/>
      <c r="O76" s="289"/>
      <c r="P76" s="289"/>
    </row>
    <row r="77" spans="11:16" x14ac:dyDescent="0.3">
      <c r="K77" s="289"/>
      <c r="L77" s="289"/>
      <c r="M77" s="289"/>
      <c r="N77" s="289"/>
      <c r="O77" s="289"/>
      <c r="P77" s="289"/>
    </row>
    <row r="78" spans="11:16" x14ac:dyDescent="0.3">
      <c r="K78" s="289"/>
      <c r="L78" s="289"/>
      <c r="M78" s="289"/>
      <c r="N78" s="289"/>
      <c r="O78" s="289"/>
      <c r="P78" s="289"/>
    </row>
    <row r="79" spans="11:16" x14ac:dyDescent="0.3">
      <c r="K79" s="289"/>
      <c r="L79" s="289"/>
      <c r="M79" s="289"/>
      <c r="N79" s="289"/>
      <c r="O79" s="289"/>
      <c r="P79" s="289"/>
    </row>
    <row r="80" spans="11:16" x14ac:dyDescent="0.3">
      <c r="K80" s="289"/>
      <c r="L80" s="289"/>
      <c r="M80" s="289"/>
      <c r="N80" s="289"/>
      <c r="O80" s="289"/>
      <c r="P80" s="289"/>
    </row>
    <row r="81" spans="11:16" x14ac:dyDescent="0.3">
      <c r="K81" s="289"/>
      <c r="L81" s="289"/>
      <c r="M81" s="289"/>
      <c r="N81" s="289"/>
      <c r="O81" s="289"/>
      <c r="P81" s="289"/>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6" tint="0.59999389629810485"/>
    <outlinePr summaryBelow="0"/>
  </sheetPr>
  <dimension ref="A1:V63"/>
  <sheetViews>
    <sheetView zoomScale="70" zoomScaleNormal="70" workbookViewId="0">
      <selection activeCell="H8" sqref="H8:H23"/>
    </sheetView>
  </sheetViews>
  <sheetFormatPr defaultRowHeight="14.4" outlineLevelRow="2" x14ac:dyDescent="0.3"/>
  <cols>
    <col min="1" max="1" width="35.5546875" bestFit="1" customWidth="1"/>
    <col min="2" max="2" width="13.77734375" customWidth="1"/>
    <col min="3" max="11" width="14.77734375" style="9" customWidth="1"/>
  </cols>
  <sheetData>
    <row r="1" spans="1:22" x14ac:dyDescent="0.3">
      <c r="A1" t="s">
        <v>678</v>
      </c>
      <c r="B1" t="s">
        <v>1180</v>
      </c>
      <c r="C1" s="218"/>
      <c r="D1" s="218"/>
      <c r="E1" s="218"/>
      <c r="F1" s="218"/>
      <c r="G1" s="218"/>
      <c r="H1" s="218"/>
      <c r="I1" s="218"/>
      <c r="J1" s="218"/>
      <c r="K1" s="218"/>
      <c r="L1" s="218"/>
      <c r="M1" s="218"/>
      <c r="N1" s="218"/>
      <c r="O1" s="218"/>
      <c r="P1" s="218"/>
      <c r="Q1" s="218"/>
      <c r="R1" s="218"/>
      <c r="S1" s="218"/>
      <c r="T1" s="218"/>
      <c r="U1" s="218"/>
      <c r="V1" s="218"/>
    </row>
    <row r="2" spans="1:22" x14ac:dyDescent="0.3">
      <c r="A2" t="s">
        <v>389</v>
      </c>
      <c r="B2" t="s">
        <v>1023</v>
      </c>
      <c r="C2" s="218"/>
      <c r="D2" s="218"/>
      <c r="E2" s="218"/>
      <c r="F2" s="218"/>
      <c r="G2" s="218"/>
      <c r="H2" s="218"/>
      <c r="I2" s="218"/>
      <c r="J2" s="218"/>
      <c r="K2" s="218"/>
      <c r="L2" s="218"/>
      <c r="M2" s="218"/>
      <c r="N2" s="218"/>
      <c r="O2" s="218"/>
      <c r="P2" s="218"/>
      <c r="Q2" s="218"/>
      <c r="R2" s="218"/>
      <c r="S2" s="218"/>
      <c r="T2" s="218"/>
      <c r="U2" s="218"/>
      <c r="V2" s="218"/>
    </row>
    <row r="3" spans="1:22" x14ac:dyDescent="0.3">
      <c r="A3" t="s">
        <v>391</v>
      </c>
      <c r="B3" t="s">
        <v>392</v>
      </c>
      <c r="C3" s="218"/>
      <c r="D3" s="218"/>
      <c r="E3" s="218"/>
      <c r="F3" s="218"/>
      <c r="G3" s="218"/>
      <c r="H3" s="218"/>
      <c r="I3" s="218"/>
      <c r="J3" s="218"/>
      <c r="K3" s="218"/>
      <c r="L3" s="218"/>
      <c r="M3" s="218"/>
      <c r="N3" s="218"/>
      <c r="O3" s="218"/>
      <c r="P3" s="218"/>
      <c r="Q3" s="218"/>
      <c r="R3" s="218"/>
      <c r="S3" s="218"/>
      <c r="T3" s="218"/>
      <c r="U3" s="218"/>
      <c r="V3" s="218"/>
    </row>
    <row r="4" spans="1:22" x14ac:dyDescent="0.3">
      <c r="A4" t="s">
        <v>393</v>
      </c>
      <c r="B4" t="s">
        <v>394</v>
      </c>
      <c r="C4" s="218"/>
      <c r="D4" s="218"/>
      <c r="E4" s="218"/>
      <c r="F4" s="218"/>
      <c r="G4" s="218"/>
      <c r="H4" s="218"/>
      <c r="I4" s="218"/>
      <c r="J4" s="218"/>
      <c r="K4" s="218"/>
      <c r="L4" s="218"/>
      <c r="M4" s="218"/>
      <c r="N4" s="218"/>
      <c r="O4" s="218"/>
      <c r="P4" s="218"/>
      <c r="Q4" s="218"/>
      <c r="R4" s="218"/>
      <c r="S4" s="218"/>
      <c r="T4" s="218"/>
      <c r="U4" s="218"/>
      <c r="V4" s="218"/>
    </row>
    <row r="6" spans="1:22" s="384" customFormat="1" ht="22.95" customHeight="1" x14ac:dyDescent="0.3">
      <c r="A6" s="383" t="s">
        <v>877</v>
      </c>
      <c r="C6" s="392"/>
      <c r="D6" s="392"/>
      <c r="E6" s="392"/>
      <c r="F6" s="392"/>
      <c r="G6" s="392"/>
      <c r="H6" s="392"/>
      <c r="I6" s="392"/>
      <c r="J6" s="392"/>
      <c r="K6" s="392"/>
      <c r="L6" s="385"/>
      <c r="M6" s="385"/>
      <c r="N6" s="385"/>
      <c r="O6" s="385"/>
      <c r="P6" s="385"/>
      <c r="Q6" s="385"/>
      <c r="R6" s="385"/>
      <c r="S6" s="385"/>
      <c r="T6" s="385"/>
      <c r="U6" s="385"/>
      <c r="V6" s="385"/>
    </row>
    <row r="7" spans="1:22" s="8" customFormat="1" ht="86.4" outlineLevel="2" x14ac:dyDescent="0.3">
      <c r="A7" s="371" t="s">
        <v>395</v>
      </c>
      <c r="B7" s="371" t="s">
        <v>396</v>
      </c>
      <c r="C7" s="245" t="s">
        <v>684</v>
      </c>
      <c r="D7" s="290" t="s">
        <v>792</v>
      </c>
      <c r="E7" s="290" t="s">
        <v>756</v>
      </c>
      <c r="F7" s="290" t="s">
        <v>703</v>
      </c>
      <c r="G7" s="290" t="s">
        <v>704</v>
      </c>
      <c r="H7" s="290" t="s">
        <v>705</v>
      </c>
      <c r="I7" s="290" t="s">
        <v>530</v>
      </c>
      <c r="J7" s="290" t="s">
        <v>512</v>
      </c>
      <c r="K7" s="290" t="s">
        <v>698</v>
      </c>
    </row>
    <row r="8" spans="1:22" outlineLevel="2" x14ac:dyDescent="0.3">
      <c r="A8" t="s">
        <v>397</v>
      </c>
      <c r="B8" t="s">
        <v>398</v>
      </c>
      <c r="C8" s="10">
        <v>21.205950000000001</v>
      </c>
      <c r="D8" s="10">
        <v>0</v>
      </c>
      <c r="E8" s="10">
        <v>19.119053999999998</v>
      </c>
      <c r="F8" s="10">
        <v>4.6856041000000001E-2</v>
      </c>
      <c r="G8" s="10">
        <v>0.39935209999999999</v>
      </c>
      <c r="H8" s="10">
        <v>3.6011224000000001E-2</v>
      </c>
      <c r="I8" s="10">
        <v>5.9828267999999997E-2</v>
      </c>
      <c r="J8" s="10">
        <v>1.0774090999999999</v>
      </c>
      <c r="K8" s="10">
        <v>0.46743975999999998</v>
      </c>
    </row>
    <row r="9" spans="1:22" outlineLevel="2" x14ac:dyDescent="0.3">
      <c r="A9" t="s">
        <v>399</v>
      </c>
      <c r="B9" t="s">
        <v>400</v>
      </c>
      <c r="C9" s="10">
        <v>1.9725938999999999E-6</v>
      </c>
      <c r="D9" s="10">
        <v>0</v>
      </c>
      <c r="E9" s="10">
        <v>1.7789934E-6</v>
      </c>
      <c r="F9" s="10">
        <v>3.0526641000000001E-8</v>
      </c>
      <c r="G9" s="10">
        <v>2.1410701E-8</v>
      </c>
      <c r="H9" s="10">
        <v>3.5081328E-9</v>
      </c>
      <c r="I9" s="10">
        <v>3.8261005999999996E-9</v>
      </c>
      <c r="J9" s="10">
        <v>1.3138075E-7</v>
      </c>
      <c r="K9" s="10">
        <v>2.9482320000000001E-9</v>
      </c>
    </row>
    <row r="10" spans="1:22" outlineLevel="2" x14ac:dyDescent="0.3">
      <c r="A10" t="s">
        <v>1024</v>
      </c>
      <c r="B10" t="s">
        <v>401</v>
      </c>
      <c r="C10" s="10">
        <v>0.44296569000000002</v>
      </c>
      <c r="D10" s="10">
        <v>0</v>
      </c>
      <c r="E10" s="10">
        <v>0.40990232999999998</v>
      </c>
      <c r="F10" s="10">
        <v>8.2295821000000005E-3</v>
      </c>
      <c r="G10" s="10">
        <v>1.4460229E-2</v>
      </c>
      <c r="H10" s="10">
        <v>1.2924722000000001E-3</v>
      </c>
      <c r="I10" s="10">
        <v>2.9145620999999999E-3</v>
      </c>
      <c r="J10" s="10">
        <v>3.5191697000000002E-3</v>
      </c>
      <c r="K10" s="10">
        <v>2.6473440999999999E-3</v>
      </c>
    </row>
    <row r="11" spans="1:22" outlineLevel="2" x14ac:dyDescent="0.3">
      <c r="A11" t="s">
        <v>1025</v>
      </c>
      <c r="B11" t="s">
        <v>402</v>
      </c>
      <c r="C11" s="10">
        <v>0.13309378999999999</v>
      </c>
      <c r="D11" s="10">
        <v>0</v>
      </c>
      <c r="E11" s="10">
        <v>0.12900033</v>
      </c>
      <c r="F11" s="10">
        <v>1.49281E-4</v>
      </c>
      <c r="G11" s="10">
        <v>7.0252124999999998E-4</v>
      </c>
      <c r="H11" s="10">
        <v>1.0877561E-4</v>
      </c>
      <c r="I11" s="10">
        <v>2.6936385999999998E-4</v>
      </c>
      <c r="J11" s="10">
        <v>1.4330448999999999E-3</v>
      </c>
      <c r="K11" s="10">
        <v>1.4304668000000001E-3</v>
      </c>
    </row>
    <row r="12" spans="1:22" outlineLevel="2" x14ac:dyDescent="0.3">
      <c r="A12" t="s">
        <v>1026</v>
      </c>
      <c r="B12" t="s">
        <v>403</v>
      </c>
      <c r="C12" s="10">
        <v>1.1194785000000001E-5</v>
      </c>
      <c r="D12" s="10">
        <v>0</v>
      </c>
      <c r="E12" s="10">
        <v>1.1133561E-5</v>
      </c>
      <c r="F12" s="10">
        <v>7.1741490999999998E-9</v>
      </c>
      <c r="G12" s="10">
        <v>1.0386941E-8</v>
      </c>
      <c r="H12" s="10">
        <v>1.6659034000000001E-9</v>
      </c>
      <c r="I12" s="10">
        <v>4.5565934000000001E-9</v>
      </c>
      <c r="J12" s="10">
        <v>4.3345572999999999E-9</v>
      </c>
      <c r="K12" s="10">
        <v>3.3106159999999997E-8</v>
      </c>
    </row>
    <row r="13" spans="1:22" outlineLevel="2" x14ac:dyDescent="0.3">
      <c r="A13" t="s">
        <v>1027</v>
      </c>
      <c r="B13" t="s">
        <v>404</v>
      </c>
      <c r="C13" s="10">
        <v>4.0090514999999999E-7</v>
      </c>
      <c r="D13" s="10">
        <v>1.180312E-10</v>
      </c>
      <c r="E13" s="10">
        <v>3.8409806000000001E-7</v>
      </c>
      <c r="F13" s="10">
        <v>3.7067586000000002E-10</v>
      </c>
      <c r="G13" s="10">
        <v>2.9119074000000001E-9</v>
      </c>
      <c r="H13" s="10">
        <v>4.0778199999999998E-10</v>
      </c>
      <c r="I13" s="10">
        <v>6.1115889E-9</v>
      </c>
      <c r="J13" s="10">
        <v>2.2584472000000001E-9</v>
      </c>
      <c r="K13" s="10">
        <v>4.6286671000000002E-9</v>
      </c>
    </row>
    <row r="14" spans="1:22" outlineLevel="2" x14ac:dyDescent="0.3">
      <c r="A14" t="s">
        <v>1028</v>
      </c>
      <c r="B14" t="s">
        <v>404</v>
      </c>
      <c r="C14" s="10">
        <v>1.7625776E-8</v>
      </c>
      <c r="D14" s="10">
        <v>4.4315040000000001E-11</v>
      </c>
      <c r="E14" s="10">
        <v>1.7043412000000001E-8</v>
      </c>
      <c r="F14" s="10">
        <v>1.0844703000000001E-11</v>
      </c>
      <c r="G14" s="10">
        <v>9.0396140999999995E-11</v>
      </c>
      <c r="H14" s="10">
        <v>2.3006681E-11</v>
      </c>
      <c r="I14" s="10">
        <v>2.2773698E-10</v>
      </c>
      <c r="J14" s="10">
        <v>9.1702950000000001E-11</v>
      </c>
      <c r="K14" s="10">
        <v>9.4361763000000001E-11</v>
      </c>
    </row>
    <row r="15" spans="1:22" outlineLevel="2" x14ac:dyDescent="0.3">
      <c r="A15" t="s">
        <v>1029</v>
      </c>
      <c r="B15" t="s">
        <v>405</v>
      </c>
      <c r="C15" s="10">
        <v>0.85463151999999998</v>
      </c>
      <c r="D15" s="10">
        <v>0</v>
      </c>
      <c r="E15" s="10">
        <v>0.84787701000000004</v>
      </c>
      <c r="F15" s="10">
        <v>3.0850121000000001E-4</v>
      </c>
      <c r="G15" s="10">
        <v>1.6237631999999999E-3</v>
      </c>
      <c r="H15" s="10">
        <v>1.9405434000000001E-4</v>
      </c>
      <c r="I15" s="10">
        <v>7.2446816000000004E-4</v>
      </c>
      <c r="J15" s="10">
        <v>1.4786374E-3</v>
      </c>
      <c r="K15" s="10">
        <v>2.4250872999999999E-3</v>
      </c>
    </row>
    <row r="16" spans="1:22" outlineLevel="2" x14ac:dyDescent="0.3">
      <c r="A16" t="s">
        <v>1030</v>
      </c>
      <c r="B16" t="s">
        <v>406</v>
      </c>
      <c r="C16" s="10">
        <v>7.4558700999999999E-4</v>
      </c>
      <c r="D16" s="10">
        <v>0</v>
      </c>
      <c r="E16" s="10">
        <v>7.1310286999999996E-4</v>
      </c>
      <c r="F16" s="10">
        <v>3.1316606999999998E-7</v>
      </c>
      <c r="G16" s="10">
        <v>1.2466627000000001E-5</v>
      </c>
      <c r="H16" s="10">
        <v>1.3761181000000001E-6</v>
      </c>
      <c r="I16" s="10">
        <v>6.9164806999999996E-6</v>
      </c>
      <c r="J16" s="10">
        <v>1.5826810999999999E-6</v>
      </c>
      <c r="K16" s="10">
        <v>9.8290618E-6</v>
      </c>
    </row>
    <row r="17" spans="1:22" outlineLevel="2" x14ac:dyDescent="0.3">
      <c r="A17" t="s">
        <v>1031</v>
      </c>
      <c r="B17" t="s">
        <v>407</v>
      </c>
      <c r="C17" s="10">
        <v>2.9780991E-2</v>
      </c>
      <c r="D17" s="10">
        <v>0</v>
      </c>
      <c r="E17" s="10">
        <v>2.8563252000000001E-2</v>
      </c>
      <c r="F17" s="10">
        <v>3.7866396000000003E-5</v>
      </c>
      <c r="G17" s="10">
        <v>2.0946545999999999E-4</v>
      </c>
      <c r="H17" s="10">
        <v>3.3116001000000002E-5</v>
      </c>
      <c r="I17" s="10">
        <v>7.6075858000000006E-5</v>
      </c>
      <c r="J17" s="10">
        <v>3.5927601000000002E-4</v>
      </c>
      <c r="K17" s="10">
        <v>5.0193999000000002E-4</v>
      </c>
    </row>
    <row r="18" spans="1:22" outlineLevel="2" x14ac:dyDescent="0.3">
      <c r="A18" t="s">
        <v>1032</v>
      </c>
      <c r="B18" t="s">
        <v>408</v>
      </c>
      <c r="C18" s="10">
        <v>0.42552030000000002</v>
      </c>
      <c r="D18" s="10">
        <v>0</v>
      </c>
      <c r="E18" s="10">
        <v>0.41193463000000002</v>
      </c>
      <c r="F18" s="10">
        <v>4.2031263999999999E-4</v>
      </c>
      <c r="G18" s="10">
        <v>2.3881989000000001E-3</v>
      </c>
      <c r="H18" s="10">
        <v>3.5698929999999999E-4</v>
      </c>
      <c r="I18" s="10">
        <v>9.6792598999999996E-4</v>
      </c>
      <c r="J18" s="10">
        <v>3.9298909999999996E-3</v>
      </c>
      <c r="K18" s="10">
        <v>5.5223516999999998E-3</v>
      </c>
    </row>
    <row r="19" spans="1:22" outlineLevel="2" x14ac:dyDescent="0.3">
      <c r="A19" t="s">
        <v>1033</v>
      </c>
      <c r="B19" t="s">
        <v>409</v>
      </c>
      <c r="C19" s="10">
        <v>1578.778</v>
      </c>
      <c r="D19" s="10">
        <v>4.5621519999999999E-2</v>
      </c>
      <c r="E19" s="10">
        <v>1551.8133</v>
      </c>
      <c r="F19" s="10">
        <v>1.0647409000000001</v>
      </c>
      <c r="G19" s="10">
        <v>4.3667866000000002</v>
      </c>
      <c r="H19" s="10">
        <v>0.76031974999999996</v>
      </c>
      <c r="I19" s="10">
        <v>5.6277007000000001</v>
      </c>
      <c r="J19" s="10">
        <v>3.2871636</v>
      </c>
      <c r="K19" s="10">
        <v>11.812315</v>
      </c>
    </row>
    <row r="20" spans="1:22" outlineLevel="2" x14ac:dyDescent="0.3">
      <c r="A20" t="s">
        <v>410</v>
      </c>
      <c r="B20" t="s">
        <v>411</v>
      </c>
      <c r="C20" s="10">
        <v>76.255398</v>
      </c>
      <c r="D20" s="10">
        <v>0</v>
      </c>
      <c r="E20" s="10">
        <v>72.751527999999993</v>
      </c>
      <c r="F20" s="10">
        <v>0.24906391999999999</v>
      </c>
      <c r="G20" s="10">
        <v>0.70418314999999998</v>
      </c>
      <c r="H20" s="10">
        <v>0.12458341000000001</v>
      </c>
      <c r="I20" s="10">
        <v>0.99396057000000004</v>
      </c>
      <c r="J20" s="10">
        <v>0.5443943</v>
      </c>
      <c r="K20" s="10">
        <v>0.88768413999999995</v>
      </c>
    </row>
    <row r="21" spans="1:22" outlineLevel="2" x14ac:dyDescent="0.3">
      <c r="A21" t="s">
        <v>1034</v>
      </c>
      <c r="B21" t="s">
        <v>412</v>
      </c>
      <c r="C21" s="10">
        <v>7.4845968000000003</v>
      </c>
      <c r="D21" s="10">
        <v>0</v>
      </c>
      <c r="E21" s="10">
        <v>7.1860825000000004</v>
      </c>
      <c r="F21" s="10">
        <v>1.8536929E-3</v>
      </c>
      <c r="G21" s="10">
        <v>0.13743929999999999</v>
      </c>
      <c r="H21" s="10">
        <v>6.3443956999999995E-2</v>
      </c>
      <c r="I21" s="10">
        <v>1.5737735999999999E-2</v>
      </c>
      <c r="J21" s="10">
        <v>3.2222344E-2</v>
      </c>
      <c r="K21" s="10">
        <v>4.7817287999999999E-2</v>
      </c>
    </row>
    <row r="22" spans="1:22" outlineLevel="2" x14ac:dyDescent="0.3">
      <c r="A22" t="s">
        <v>1035</v>
      </c>
      <c r="B22" t="s">
        <v>21</v>
      </c>
      <c r="C22" s="10">
        <v>226.19083000000001</v>
      </c>
      <c r="D22" s="10">
        <v>0</v>
      </c>
      <c r="E22" s="10">
        <v>198.09625</v>
      </c>
      <c r="F22" s="10">
        <v>1.9016158000000001</v>
      </c>
      <c r="G22" s="10">
        <v>3.9712266000000001</v>
      </c>
      <c r="H22" s="10">
        <v>0.59014294</v>
      </c>
      <c r="I22" s="10">
        <v>0.71770858999999998</v>
      </c>
      <c r="J22" s="10">
        <v>16.793364</v>
      </c>
      <c r="K22" s="10">
        <v>4.1205230000000004</v>
      </c>
    </row>
    <row r="23" spans="1:22" outlineLevel="2" x14ac:dyDescent="0.3">
      <c r="A23" t="s">
        <v>1036</v>
      </c>
      <c r="B23" t="s">
        <v>413</v>
      </c>
      <c r="C23" s="10">
        <v>1.2864529999999999E-3</v>
      </c>
      <c r="D23" s="10">
        <v>0</v>
      </c>
      <c r="E23" s="10">
        <v>1.2540737000000001E-3</v>
      </c>
      <c r="F23" s="10">
        <v>4.6813858999999998E-7</v>
      </c>
      <c r="G23" s="10">
        <v>1.4009391E-5</v>
      </c>
      <c r="H23" s="10">
        <v>4.9084977000000004E-7</v>
      </c>
      <c r="I23" s="10">
        <v>1.6292863E-5</v>
      </c>
      <c r="J23" s="10">
        <v>5.1013307E-7</v>
      </c>
      <c r="K23" s="10">
        <v>6.0800213000000004E-7</v>
      </c>
    </row>
    <row r="26" spans="1:22" s="389" customFormat="1" ht="22.95" customHeight="1" x14ac:dyDescent="0.3">
      <c r="A26" s="388" t="s">
        <v>878</v>
      </c>
      <c r="C26" s="393"/>
      <c r="D26" s="393"/>
      <c r="E26" s="393"/>
      <c r="F26" s="393"/>
      <c r="G26" s="393"/>
      <c r="H26" s="393"/>
      <c r="I26" s="393"/>
      <c r="J26" s="393"/>
      <c r="K26" s="393"/>
      <c r="L26" s="390"/>
      <c r="M26" s="390"/>
      <c r="N26" s="390"/>
      <c r="O26" s="390"/>
      <c r="P26" s="390"/>
      <c r="Q26" s="390"/>
      <c r="R26" s="390"/>
      <c r="S26" s="390"/>
      <c r="T26" s="390"/>
      <c r="U26" s="390"/>
      <c r="V26" s="390"/>
    </row>
    <row r="27" spans="1:22" s="8" customFormat="1" ht="86.4" outlineLevel="1" x14ac:dyDescent="0.3">
      <c r="A27" s="371" t="s">
        <v>395</v>
      </c>
      <c r="B27" s="371" t="s">
        <v>396</v>
      </c>
      <c r="C27" s="245" t="s">
        <v>684</v>
      </c>
      <c r="D27" s="290" t="s">
        <v>793</v>
      </c>
      <c r="E27" s="290" t="s">
        <v>880</v>
      </c>
      <c r="F27" s="290" t="s">
        <v>703</v>
      </c>
      <c r="G27" s="290" t="s">
        <v>704</v>
      </c>
      <c r="H27" s="290" t="s">
        <v>705</v>
      </c>
      <c r="I27" s="290" t="s">
        <v>530</v>
      </c>
      <c r="J27" s="290" t="s">
        <v>512</v>
      </c>
      <c r="K27" s="290" t="s">
        <v>698</v>
      </c>
    </row>
    <row r="28" spans="1:22" outlineLevel="1" x14ac:dyDescent="0.3">
      <c r="A28" t="s">
        <v>397</v>
      </c>
      <c r="B28" t="s">
        <v>398</v>
      </c>
      <c r="C28" s="10">
        <v>26.749714000000001</v>
      </c>
      <c r="D28" s="10">
        <v>0</v>
      </c>
      <c r="E28" s="10">
        <v>20.511377</v>
      </c>
      <c r="F28" s="10">
        <v>0.46856040999999998</v>
      </c>
      <c r="G28" s="10">
        <v>3.9935209999999999</v>
      </c>
      <c r="H28" s="10">
        <v>3.6011224000000001E-2</v>
      </c>
      <c r="I28" s="10">
        <v>5.9828266999999997E-2</v>
      </c>
      <c r="J28" s="10">
        <v>1.1836924</v>
      </c>
      <c r="K28" s="10">
        <v>0.49672388000000001</v>
      </c>
    </row>
    <row r="29" spans="1:22" outlineLevel="1" x14ac:dyDescent="0.3">
      <c r="A29" t="s">
        <v>399</v>
      </c>
      <c r="B29" t="s">
        <v>400</v>
      </c>
      <c r="C29" s="10">
        <v>2.3797061E-6</v>
      </c>
      <c r="D29" s="10">
        <v>0</v>
      </c>
      <c r="E29" s="10">
        <v>1.7055245E-6</v>
      </c>
      <c r="F29" s="10">
        <v>3.0526640999999998E-7</v>
      </c>
      <c r="G29" s="10">
        <v>2.14107E-7</v>
      </c>
      <c r="H29" s="10">
        <v>3.5081328E-9</v>
      </c>
      <c r="I29" s="10">
        <v>3.8261005999999996E-9</v>
      </c>
      <c r="J29" s="10">
        <v>1.4434107E-7</v>
      </c>
      <c r="K29" s="10">
        <v>3.1329325999999999E-9</v>
      </c>
    </row>
    <row r="30" spans="1:22" outlineLevel="1" x14ac:dyDescent="0.3">
      <c r="A30" t="s">
        <v>1024</v>
      </c>
      <c r="B30" t="s">
        <v>401</v>
      </c>
      <c r="C30" s="10">
        <v>0.72169821000000001</v>
      </c>
      <c r="D30" s="10">
        <v>0</v>
      </c>
      <c r="E30" s="10">
        <v>0.48391353999999998</v>
      </c>
      <c r="F30" s="10">
        <v>8.2295821000000005E-2</v>
      </c>
      <c r="G30" s="10">
        <v>0.14460228999999999</v>
      </c>
      <c r="H30" s="10">
        <v>1.2924722000000001E-3</v>
      </c>
      <c r="I30" s="10">
        <v>2.9145620999999999E-3</v>
      </c>
      <c r="J30" s="10">
        <v>3.8663255000000001E-3</v>
      </c>
      <c r="K30" s="10">
        <v>2.8131946E-3</v>
      </c>
    </row>
    <row r="31" spans="1:22" outlineLevel="1" x14ac:dyDescent="0.3">
      <c r="A31" t="s">
        <v>1025</v>
      </c>
      <c r="B31" t="s">
        <v>402</v>
      </c>
      <c r="C31" s="10">
        <v>0.21545929</v>
      </c>
      <c r="D31" s="10">
        <v>0</v>
      </c>
      <c r="E31" s="10">
        <v>0.20346864000000001</v>
      </c>
      <c r="F31" s="10">
        <v>1.49281E-3</v>
      </c>
      <c r="G31" s="10">
        <v>7.0252125E-3</v>
      </c>
      <c r="H31" s="10">
        <v>1.0877561E-4</v>
      </c>
      <c r="I31" s="10">
        <v>2.6936385999999998E-4</v>
      </c>
      <c r="J31" s="10">
        <v>1.5744106E-3</v>
      </c>
      <c r="K31" s="10">
        <v>1.5200826000000001E-3</v>
      </c>
    </row>
    <row r="32" spans="1:22" outlineLevel="1" x14ac:dyDescent="0.3">
      <c r="A32" t="s">
        <v>1026</v>
      </c>
      <c r="B32" t="s">
        <v>403</v>
      </c>
      <c r="C32" s="10">
        <v>5.8438634000000003E-6</v>
      </c>
      <c r="D32" s="10">
        <v>0</v>
      </c>
      <c r="E32" s="10">
        <v>5.6220876999999998E-6</v>
      </c>
      <c r="F32" s="10">
        <v>7.1741491000000001E-8</v>
      </c>
      <c r="G32" s="10">
        <v>1.0386940999999999E-7</v>
      </c>
      <c r="H32" s="10">
        <v>1.6659034000000001E-9</v>
      </c>
      <c r="I32" s="10">
        <v>4.5565934000000001E-9</v>
      </c>
      <c r="J32" s="10">
        <v>4.7621487000000001E-9</v>
      </c>
      <c r="K32" s="10">
        <v>3.5180192000000003E-8</v>
      </c>
    </row>
    <row r="33" spans="1:22" outlineLevel="1" x14ac:dyDescent="0.3">
      <c r="A33" t="s">
        <v>1027</v>
      </c>
      <c r="B33" t="s">
        <v>404</v>
      </c>
      <c r="C33" s="10">
        <v>5.4773756999999998E-7</v>
      </c>
      <c r="D33" s="10">
        <v>1.180312E-10</v>
      </c>
      <c r="E33" s="10">
        <v>5.0087445000000001E-7</v>
      </c>
      <c r="F33" s="10">
        <v>3.7067586000000001E-9</v>
      </c>
      <c r="G33" s="10">
        <v>2.9119074000000001E-8</v>
      </c>
      <c r="H33" s="10">
        <v>4.0778199999999998E-10</v>
      </c>
      <c r="I33" s="10">
        <v>6.1115889E-9</v>
      </c>
      <c r="J33" s="10">
        <v>2.4812365000000001E-9</v>
      </c>
      <c r="K33" s="10">
        <v>4.9186434999999998E-9</v>
      </c>
    </row>
    <row r="34" spans="1:22" outlineLevel="1" x14ac:dyDescent="0.3">
      <c r="A34" t="s">
        <v>1028</v>
      </c>
      <c r="B34" t="s">
        <v>404</v>
      </c>
      <c r="C34" s="10">
        <v>3.0075120999999999E-8</v>
      </c>
      <c r="D34" s="10">
        <v>4.4315040000000001E-11</v>
      </c>
      <c r="E34" s="10">
        <v>2.8566630999999998E-8</v>
      </c>
      <c r="F34" s="10">
        <v>1.0844703E-10</v>
      </c>
      <c r="G34" s="10">
        <v>9.0396141000000002E-10</v>
      </c>
      <c r="H34" s="10">
        <v>2.3006681E-11</v>
      </c>
      <c r="I34" s="10">
        <v>2.2773698E-10</v>
      </c>
      <c r="J34" s="10">
        <v>1.0074918000000001E-10</v>
      </c>
      <c r="K34" s="10">
        <v>1.0027333E-10</v>
      </c>
    </row>
    <row r="35" spans="1:22" outlineLevel="1" x14ac:dyDescent="0.3">
      <c r="A35" t="s">
        <v>1029</v>
      </c>
      <c r="B35" t="s">
        <v>405</v>
      </c>
      <c r="C35" s="10">
        <v>1.8354351</v>
      </c>
      <c r="D35" s="10">
        <v>0</v>
      </c>
      <c r="E35" s="10">
        <v>1.8109923999999999</v>
      </c>
      <c r="F35" s="10">
        <v>3.0850120999999999E-3</v>
      </c>
      <c r="G35" s="10">
        <v>1.6237631999999998E-2</v>
      </c>
      <c r="H35" s="10">
        <v>1.9405434000000001E-4</v>
      </c>
      <c r="I35" s="10">
        <v>7.2446816000000004E-4</v>
      </c>
      <c r="J35" s="10">
        <v>1.6245007000000001E-3</v>
      </c>
      <c r="K35" s="10">
        <v>2.5770139999999999E-3</v>
      </c>
    </row>
    <row r="36" spans="1:22" outlineLevel="1" x14ac:dyDescent="0.3">
      <c r="A36" t="s">
        <v>1030</v>
      </c>
      <c r="B36" t="s">
        <v>406</v>
      </c>
      <c r="C36" s="10">
        <v>1.2600846000000001E-3</v>
      </c>
      <c r="D36" s="10">
        <v>0</v>
      </c>
      <c r="E36" s="10">
        <v>1.1118104999999999E-3</v>
      </c>
      <c r="F36" s="10">
        <v>3.1316607000000002E-6</v>
      </c>
      <c r="G36" s="10">
        <v>1.2466627000000001E-4</v>
      </c>
      <c r="H36" s="10">
        <v>1.3761181000000001E-6</v>
      </c>
      <c r="I36" s="10">
        <v>6.9164808000000004E-6</v>
      </c>
      <c r="J36" s="10">
        <v>1.738808E-6</v>
      </c>
      <c r="K36" s="10">
        <v>1.0444832E-5</v>
      </c>
    </row>
    <row r="37" spans="1:22" outlineLevel="1" x14ac:dyDescent="0.3">
      <c r="A37" t="s">
        <v>1031</v>
      </c>
      <c r="B37" t="s">
        <v>407</v>
      </c>
      <c r="C37" s="10">
        <v>3.7854857999999998E-2</v>
      </c>
      <c r="D37" s="10">
        <v>0</v>
      </c>
      <c r="E37" s="10">
        <v>3.4344245000000002E-2</v>
      </c>
      <c r="F37" s="10">
        <v>3.7866396000000002E-4</v>
      </c>
      <c r="G37" s="10">
        <v>2.0946545999999998E-3</v>
      </c>
      <c r="H37" s="10">
        <v>3.3116001000000002E-5</v>
      </c>
      <c r="I37" s="10">
        <v>7.6075858000000006E-5</v>
      </c>
      <c r="J37" s="10">
        <v>3.9471754000000001E-4</v>
      </c>
      <c r="K37" s="10">
        <v>5.3338547999999997E-4</v>
      </c>
    </row>
    <row r="38" spans="1:22" outlineLevel="1" x14ac:dyDescent="0.3">
      <c r="A38" t="s">
        <v>1032</v>
      </c>
      <c r="B38" t="s">
        <v>408</v>
      </c>
      <c r="C38" s="10">
        <v>0.54998917999999997</v>
      </c>
      <c r="D38" s="10">
        <v>0</v>
      </c>
      <c r="E38" s="10">
        <v>0.51039327000000001</v>
      </c>
      <c r="F38" s="10">
        <v>4.2031263999999999E-3</v>
      </c>
      <c r="G38" s="10">
        <v>2.3881988999999999E-2</v>
      </c>
      <c r="H38" s="10">
        <v>3.5698929999999999E-4</v>
      </c>
      <c r="I38" s="10">
        <v>9.6792598E-4</v>
      </c>
      <c r="J38" s="10">
        <v>4.3175632999999996E-3</v>
      </c>
      <c r="K38" s="10">
        <v>5.8683155000000004E-3</v>
      </c>
    </row>
    <row r="39" spans="1:22" outlineLevel="1" x14ac:dyDescent="0.3">
      <c r="A39" t="s">
        <v>1033</v>
      </c>
      <c r="B39" t="s">
        <v>409</v>
      </c>
      <c r="C39" s="10">
        <v>3154.1514999999999</v>
      </c>
      <c r="D39" s="10">
        <v>4.5621519999999999E-2</v>
      </c>
      <c r="E39" s="10">
        <v>3077.2388000000001</v>
      </c>
      <c r="F39" s="10">
        <v>10.647409</v>
      </c>
      <c r="G39" s="10">
        <v>43.667865999999997</v>
      </c>
      <c r="H39" s="10">
        <v>0.76031974999999996</v>
      </c>
      <c r="I39" s="10">
        <v>5.6277007000000001</v>
      </c>
      <c r="J39" s="10">
        <v>3.6114326999999999</v>
      </c>
      <c r="K39" s="10">
        <v>12.552332</v>
      </c>
    </row>
    <row r="40" spans="1:22" outlineLevel="1" x14ac:dyDescent="0.3">
      <c r="A40" t="s">
        <v>410</v>
      </c>
      <c r="B40" t="s">
        <v>411</v>
      </c>
      <c r="C40" s="10">
        <v>113.80193</v>
      </c>
      <c r="D40" s="10">
        <v>0</v>
      </c>
      <c r="E40" s="10">
        <v>101.60952</v>
      </c>
      <c r="F40" s="10">
        <v>2.4906391999999999</v>
      </c>
      <c r="G40" s="10">
        <v>7.0418314999999998</v>
      </c>
      <c r="H40" s="10">
        <v>0.12458341000000001</v>
      </c>
      <c r="I40" s="10">
        <v>0.99396057999999998</v>
      </c>
      <c r="J40" s="10">
        <v>0.59809721000000005</v>
      </c>
      <c r="K40" s="10">
        <v>0.94329569999999996</v>
      </c>
    </row>
    <row r="41" spans="1:22" outlineLevel="1" x14ac:dyDescent="0.3">
      <c r="A41" t="s">
        <v>1034</v>
      </c>
      <c r="B41" t="s">
        <v>412</v>
      </c>
      <c r="C41" s="10">
        <v>8.2822423000000001</v>
      </c>
      <c r="D41" s="10">
        <v>0</v>
      </c>
      <c r="E41" s="10">
        <v>6.7239167000000002</v>
      </c>
      <c r="F41" s="10">
        <v>1.8536929000000001E-2</v>
      </c>
      <c r="G41" s="10">
        <v>1.374393</v>
      </c>
      <c r="H41" s="10">
        <v>6.3443956999999995E-2</v>
      </c>
      <c r="I41" s="10">
        <v>1.5737735999999999E-2</v>
      </c>
      <c r="J41" s="10">
        <v>3.5400984000000003E-2</v>
      </c>
      <c r="K41" s="10">
        <v>5.0812941E-2</v>
      </c>
    </row>
    <row r="42" spans="1:22" outlineLevel="1" x14ac:dyDescent="0.3">
      <c r="A42" t="s">
        <v>1035</v>
      </c>
      <c r="B42" t="s">
        <v>21</v>
      </c>
      <c r="C42" s="10">
        <v>302.71499</v>
      </c>
      <c r="D42" s="10">
        <v>0</v>
      </c>
      <c r="E42" s="10">
        <v>219.85006999999999</v>
      </c>
      <c r="F42" s="10">
        <v>19.016158000000001</v>
      </c>
      <c r="G42" s="10">
        <v>39.712266</v>
      </c>
      <c r="H42" s="10">
        <v>0.59014294</v>
      </c>
      <c r="I42" s="10">
        <v>0.71770858999999998</v>
      </c>
      <c r="J42" s="10">
        <v>18.44998</v>
      </c>
      <c r="K42" s="10">
        <v>4.3786652000000004</v>
      </c>
    </row>
    <row r="43" spans="1:22" outlineLevel="1" x14ac:dyDescent="0.3">
      <c r="A43" t="s">
        <v>1036</v>
      </c>
      <c r="B43" t="s">
        <v>413</v>
      </c>
      <c r="C43" s="10">
        <v>1.5902206E-3</v>
      </c>
      <c r="D43" s="10">
        <v>0</v>
      </c>
      <c r="E43" s="10">
        <v>1.427455E-3</v>
      </c>
      <c r="F43" s="10">
        <v>4.6813858999999999E-6</v>
      </c>
      <c r="G43" s="10">
        <v>1.4009391000000001E-4</v>
      </c>
      <c r="H43" s="10">
        <v>4.9084977000000004E-7</v>
      </c>
      <c r="I43" s="10">
        <v>1.6292863E-5</v>
      </c>
      <c r="J43" s="10">
        <v>5.6045621000000005E-7</v>
      </c>
      <c r="K43" s="10">
        <v>6.4609218999999999E-7</v>
      </c>
    </row>
    <row r="46" spans="1:22" s="368" customFormat="1" ht="22.95" customHeight="1" x14ac:dyDescent="0.3">
      <c r="A46" s="386" t="s">
        <v>879</v>
      </c>
      <c r="C46" s="394"/>
      <c r="D46" s="394"/>
      <c r="E46" s="394"/>
      <c r="F46" s="394"/>
      <c r="G46" s="394"/>
      <c r="H46" s="394"/>
      <c r="I46" s="394"/>
      <c r="J46" s="394"/>
      <c r="K46" s="394"/>
      <c r="L46" s="387"/>
      <c r="M46" s="387"/>
      <c r="N46" s="387"/>
      <c r="O46" s="387"/>
      <c r="P46" s="387"/>
      <c r="Q46" s="387"/>
      <c r="R46" s="387"/>
      <c r="S46" s="387"/>
      <c r="T46" s="387"/>
      <c r="U46" s="387"/>
      <c r="V46" s="387"/>
    </row>
    <row r="47" spans="1:22" s="8" customFormat="1" ht="86.4" outlineLevel="1" x14ac:dyDescent="0.3">
      <c r="A47" s="371" t="s">
        <v>395</v>
      </c>
      <c r="B47" s="371" t="s">
        <v>396</v>
      </c>
      <c r="C47" s="245" t="s">
        <v>684</v>
      </c>
      <c r="D47" s="290" t="s">
        <v>876</v>
      </c>
      <c r="E47" s="290" t="s">
        <v>881</v>
      </c>
      <c r="F47" s="290" t="s">
        <v>703</v>
      </c>
      <c r="G47" s="290" t="s">
        <v>704</v>
      </c>
      <c r="H47" s="290" t="s">
        <v>705</v>
      </c>
      <c r="I47" s="290" t="s">
        <v>530</v>
      </c>
      <c r="J47" s="290" t="s">
        <v>512</v>
      </c>
      <c r="K47" s="290" t="s">
        <v>698</v>
      </c>
    </row>
    <row r="48" spans="1:22" outlineLevel="1" x14ac:dyDescent="0.3">
      <c r="A48" t="s">
        <v>397</v>
      </c>
      <c r="B48" t="s">
        <v>398</v>
      </c>
      <c r="C48" s="10">
        <v>27.62959</v>
      </c>
      <c r="D48" s="10">
        <v>0</v>
      </c>
      <c r="E48" s="10">
        <v>21.385563999999999</v>
      </c>
      <c r="F48" s="10">
        <v>0.46856040999999998</v>
      </c>
      <c r="G48" s="10">
        <v>3.9935209999999999</v>
      </c>
      <c r="H48" s="10">
        <v>3.6011224000000001E-2</v>
      </c>
      <c r="I48" s="10">
        <v>5.9828267999999997E-2</v>
      </c>
      <c r="J48" s="10">
        <v>1.1545745999999999</v>
      </c>
      <c r="K48" s="10">
        <v>0.53153054</v>
      </c>
    </row>
    <row r="49" spans="1:11" outlineLevel="1" x14ac:dyDescent="0.3">
      <c r="A49" t="s">
        <v>399</v>
      </c>
      <c r="B49" t="s">
        <v>400</v>
      </c>
      <c r="C49" s="10">
        <v>2.4688422000000002E-6</v>
      </c>
      <c r="D49" s="10">
        <v>0</v>
      </c>
      <c r="E49" s="10">
        <v>1.7979916999999999E-6</v>
      </c>
      <c r="F49" s="10">
        <v>3.0526640999999998E-7</v>
      </c>
      <c r="G49" s="10">
        <v>2.1410701000000001E-7</v>
      </c>
      <c r="H49" s="10">
        <v>3.5081328E-9</v>
      </c>
      <c r="I49" s="10">
        <v>3.8261005999999996E-9</v>
      </c>
      <c r="J49" s="10">
        <v>1.4079041000000001E-7</v>
      </c>
      <c r="K49" s="10">
        <v>3.3524648000000001E-9</v>
      </c>
    </row>
    <row r="50" spans="1:11" outlineLevel="1" x14ac:dyDescent="0.3">
      <c r="A50" t="s">
        <v>1024</v>
      </c>
      <c r="B50" t="s">
        <v>401</v>
      </c>
      <c r="C50" s="10">
        <v>0.74293167999999998</v>
      </c>
      <c r="D50" s="10">
        <v>0</v>
      </c>
      <c r="E50" s="10">
        <v>0.50504499000000003</v>
      </c>
      <c r="F50" s="10">
        <v>8.2295821000000005E-2</v>
      </c>
      <c r="G50" s="10">
        <v>0.14460228999999999</v>
      </c>
      <c r="H50" s="10">
        <v>1.2924722000000001E-3</v>
      </c>
      <c r="I50" s="10">
        <v>2.9145620999999999E-3</v>
      </c>
      <c r="J50" s="10">
        <v>3.7712172E-3</v>
      </c>
      <c r="K50" s="10">
        <v>3.0103221000000002E-3</v>
      </c>
    </row>
    <row r="51" spans="1:11" outlineLevel="1" x14ac:dyDescent="0.3">
      <c r="A51" t="s">
        <v>1025</v>
      </c>
      <c r="B51" t="s">
        <v>402</v>
      </c>
      <c r="C51" s="10">
        <v>0.22215019</v>
      </c>
      <c r="D51" s="10">
        <v>0</v>
      </c>
      <c r="E51" s="10">
        <v>0.21009174999999999</v>
      </c>
      <c r="F51" s="10">
        <v>1.49281E-3</v>
      </c>
      <c r="G51" s="10">
        <v>7.0252125999999996E-3</v>
      </c>
      <c r="H51" s="10">
        <v>1.0877561E-4</v>
      </c>
      <c r="I51" s="10">
        <v>2.6936385999999998E-4</v>
      </c>
      <c r="J51" s="10">
        <v>1.5356814E-3</v>
      </c>
      <c r="K51" s="10">
        <v>1.6265985000000001E-3</v>
      </c>
    </row>
    <row r="52" spans="1:11" outlineLevel="1" x14ac:dyDescent="0.3">
      <c r="A52" t="s">
        <v>1026</v>
      </c>
      <c r="B52" t="s">
        <v>403</v>
      </c>
      <c r="C52" s="10">
        <v>7.6344984000000005E-6</v>
      </c>
      <c r="D52" s="10">
        <v>0</v>
      </c>
      <c r="E52" s="10">
        <v>7.4103747000000004E-6</v>
      </c>
      <c r="F52" s="10">
        <v>7.1741491000000001E-8</v>
      </c>
      <c r="G52" s="10">
        <v>1.0386940999999999E-7</v>
      </c>
      <c r="H52" s="10">
        <v>1.6659034000000001E-9</v>
      </c>
      <c r="I52" s="10">
        <v>4.5565934000000001E-9</v>
      </c>
      <c r="J52" s="10">
        <v>4.645004E-9</v>
      </c>
      <c r="K52" s="10">
        <v>3.7645355000000001E-8</v>
      </c>
    </row>
    <row r="53" spans="1:11" outlineLevel="1" x14ac:dyDescent="0.3">
      <c r="A53" t="s">
        <v>1027</v>
      </c>
      <c r="B53" t="s">
        <v>404</v>
      </c>
      <c r="C53" s="10">
        <v>5.6819075000000003E-7</v>
      </c>
      <c r="D53" s="10">
        <v>1.180312E-10</v>
      </c>
      <c r="E53" s="10">
        <v>5.2104400999999995E-7</v>
      </c>
      <c r="F53" s="10">
        <v>3.7067586000000001E-9</v>
      </c>
      <c r="G53" s="10">
        <v>2.9119075000000002E-8</v>
      </c>
      <c r="H53" s="10">
        <v>4.0778199999999998E-10</v>
      </c>
      <c r="I53" s="10">
        <v>6.1115889E-9</v>
      </c>
      <c r="J53" s="10">
        <v>2.4202002E-9</v>
      </c>
      <c r="K53" s="10">
        <v>5.2633049000000001E-9</v>
      </c>
    </row>
    <row r="54" spans="1:11" outlineLevel="1" x14ac:dyDescent="0.3">
      <c r="A54" t="s">
        <v>1028</v>
      </c>
      <c r="B54" t="s">
        <v>404</v>
      </c>
      <c r="C54" s="10">
        <v>3.0972237E-8</v>
      </c>
      <c r="D54" s="10">
        <v>4.4315040000000001E-11</v>
      </c>
      <c r="E54" s="10">
        <v>2.9459199E-8</v>
      </c>
      <c r="F54" s="10">
        <v>1.0844703E-10</v>
      </c>
      <c r="G54" s="10">
        <v>9.0396141999999997E-10</v>
      </c>
      <c r="H54" s="10">
        <v>2.3006681E-11</v>
      </c>
      <c r="I54" s="10">
        <v>2.2773698E-10</v>
      </c>
      <c r="J54" s="10">
        <v>9.8270836000000005E-11</v>
      </c>
      <c r="K54" s="10">
        <v>1.0729973000000001E-10</v>
      </c>
    </row>
    <row r="55" spans="1:11" outlineLevel="1" x14ac:dyDescent="0.3">
      <c r="A55" t="s">
        <v>1029</v>
      </c>
      <c r="B55" t="s">
        <v>405</v>
      </c>
      <c r="C55" s="10">
        <v>1.8978237</v>
      </c>
      <c r="D55" s="10">
        <v>0</v>
      </c>
      <c r="E55" s="10">
        <v>1.8732404</v>
      </c>
      <c r="F55" s="10">
        <v>3.0850120999999999E-3</v>
      </c>
      <c r="G55" s="10">
        <v>1.6237631999999998E-2</v>
      </c>
      <c r="H55" s="10">
        <v>1.9405434000000001E-4</v>
      </c>
      <c r="I55" s="10">
        <v>7.2446816000000004E-4</v>
      </c>
      <c r="J55" s="10">
        <v>1.5845394E-3</v>
      </c>
      <c r="K55" s="10">
        <v>2.7575917E-3</v>
      </c>
    </row>
    <row r="56" spans="1:11" outlineLevel="1" x14ac:dyDescent="0.3">
      <c r="A56" t="s">
        <v>1030</v>
      </c>
      <c r="B56" t="s">
        <v>406</v>
      </c>
      <c r="C56" s="10">
        <v>1.2840834E-3</v>
      </c>
      <c r="D56" s="10">
        <v>0</v>
      </c>
      <c r="E56" s="10">
        <v>1.1351200999999999E-3</v>
      </c>
      <c r="F56" s="10">
        <v>3.1316607000000002E-6</v>
      </c>
      <c r="G56" s="10">
        <v>1.2466627000000001E-4</v>
      </c>
      <c r="H56" s="10">
        <v>1.3761181000000001E-6</v>
      </c>
      <c r="I56" s="10">
        <v>6.9164808000000004E-6</v>
      </c>
      <c r="J56" s="10">
        <v>1.6960348999999999E-6</v>
      </c>
      <c r="K56" s="10">
        <v>1.1176727E-5</v>
      </c>
    </row>
    <row r="57" spans="1:11" outlineLevel="1" x14ac:dyDescent="0.3">
      <c r="A57" t="s">
        <v>1031</v>
      </c>
      <c r="B57" t="s">
        <v>407</v>
      </c>
      <c r="C57" s="10">
        <v>4.0510158999999997E-2</v>
      </c>
      <c r="D57" s="10">
        <v>0</v>
      </c>
      <c r="E57" s="10">
        <v>3.6971879999999999E-2</v>
      </c>
      <c r="F57" s="10">
        <v>3.7866396000000002E-4</v>
      </c>
      <c r="G57" s="10">
        <v>2.0946545999999998E-3</v>
      </c>
      <c r="H57" s="10">
        <v>3.3116001000000002E-5</v>
      </c>
      <c r="I57" s="10">
        <v>7.6075858000000006E-5</v>
      </c>
      <c r="J57" s="10">
        <v>3.8500783000000003E-4</v>
      </c>
      <c r="K57" s="10">
        <v>5.7076111000000003E-4</v>
      </c>
    </row>
    <row r="58" spans="1:11" outlineLevel="1" x14ac:dyDescent="0.3">
      <c r="A58" t="s">
        <v>1032</v>
      </c>
      <c r="B58" t="s">
        <v>408</v>
      </c>
      <c r="C58" s="10">
        <v>0.71597560999999998</v>
      </c>
      <c r="D58" s="10">
        <v>0</v>
      </c>
      <c r="E58" s="10">
        <v>0.67607470000000003</v>
      </c>
      <c r="F58" s="10">
        <v>4.2031263999999999E-3</v>
      </c>
      <c r="G58" s="10">
        <v>2.3881988999999999E-2</v>
      </c>
      <c r="H58" s="10">
        <v>3.5698929999999999E-4</v>
      </c>
      <c r="I58" s="10">
        <v>9.6792598999999996E-4</v>
      </c>
      <c r="J58" s="10">
        <v>4.211355E-3</v>
      </c>
      <c r="K58" s="10">
        <v>6.2795228000000003E-3</v>
      </c>
    </row>
    <row r="59" spans="1:11" outlineLevel="1" x14ac:dyDescent="0.3">
      <c r="A59" t="s">
        <v>1033</v>
      </c>
      <c r="B59" t="s">
        <v>409</v>
      </c>
      <c r="C59" s="10">
        <v>3212.1248000000001</v>
      </c>
      <c r="D59" s="10">
        <v>4.5621519999999999E-2</v>
      </c>
      <c r="E59" s="10">
        <v>3134.4214000000002</v>
      </c>
      <c r="F59" s="10">
        <v>10.647409</v>
      </c>
      <c r="G59" s="10">
        <v>43.667865999999997</v>
      </c>
      <c r="H59" s="10">
        <v>0.76031974999999996</v>
      </c>
      <c r="I59" s="10">
        <v>5.6277008000000004</v>
      </c>
      <c r="J59" s="10">
        <v>3.5225946000000001</v>
      </c>
      <c r="K59" s="10">
        <v>13.431905</v>
      </c>
    </row>
    <row r="60" spans="1:11" outlineLevel="1" x14ac:dyDescent="0.3">
      <c r="A60" t="s">
        <v>410</v>
      </c>
      <c r="B60" t="s">
        <v>411</v>
      </c>
      <c r="C60" s="10">
        <v>115.94475</v>
      </c>
      <c r="D60" s="10">
        <v>0</v>
      </c>
      <c r="E60" s="10">
        <v>103.70095999999999</v>
      </c>
      <c r="F60" s="10">
        <v>2.4906391999999999</v>
      </c>
      <c r="G60" s="10">
        <v>7.0418314999999998</v>
      </c>
      <c r="H60" s="10">
        <v>0.12458341000000001</v>
      </c>
      <c r="I60" s="10">
        <v>0.99396057999999998</v>
      </c>
      <c r="J60" s="10">
        <v>0.58338453000000001</v>
      </c>
      <c r="K60" s="10">
        <v>1.0093947000000001</v>
      </c>
    </row>
    <row r="61" spans="1:11" outlineLevel="1" x14ac:dyDescent="0.3">
      <c r="A61" t="s">
        <v>1034</v>
      </c>
      <c r="B61" t="s">
        <v>412</v>
      </c>
      <c r="C61" s="10">
        <v>8.8864763999999994</v>
      </c>
      <c r="D61" s="10">
        <v>0</v>
      </c>
      <c r="E61" s="10">
        <v>7.3254611000000001</v>
      </c>
      <c r="F61" s="10">
        <v>1.8536929000000001E-2</v>
      </c>
      <c r="G61" s="10">
        <v>1.374393</v>
      </c>
      <c r="H61" s="10">
        <v>6.3443957999999995E-2</v>
      </c>
      <c r="I61" s="10">
        <v>1.5737735999999999E-2</v>
      </c>
      <c r="J61" s="10">
        <v>3.4530151000000002E-2</v>
      </c>
      <c r="K61" s="10">
        <v>5.4373528999999997E-2</v>
      </c>
    </row>
    <row r="62" spans="1:11" outlineLevel="1" x14ac:dyDescent="0.3">
      <c r="A62" t="s">
        <v>1035</v>
      </c>
      <c r="B62" t="s">
        <v>21</v>
      </c>
      <c r="C62" s="10">
        <v>310.37285000000003</v>
      </c>
      <c r="D62" s="10">
        <v>0</v>
      </c>
      <c r="E62" s="10">
        <v>227.65495999999999</v>
      </c>
      <c r="F62" s="10">
        <v>19.016158000000001</v>
      </c>
      <c r="G62" s="10">
        <v>39.712266</v>
      </c>
      <c r="H62" s="10">
        <v>0.59014295000000005</v>
      </c>
      <c r="I62" s="10">
        <v>0.71770858999999998</v>
      </c>
      <c r="J62" s="10">
        <v>17.996127000000001</v>
      </c>
      <c r="K62" s="10">
        <v>4.6854889999999996</v>
      </c>
    </row>
    <row r="63" spans="1:11" outlineLevel="1" x14ac:dyDescent="0.3">
      <c r="A63" t="s">
        <v>1036</v>
      </c>
      <c r="B63" t="s">
        <v>413</v>
      </c>
      <c r="C63" s="10">
        <v>1.6060179E-3</v>
      </c>
      <c r="D63" s="10">
        <v>0</v>
      </c>
      <c r="E63" s="10">
        <v>1.4432208999999999E-3</v>
      </c>
      <c r="F63" s="10">
        <v>4.6813858999999999E-6</v>
      </c>
      <c r="G63" s="10">
        <v>1.4009391000000001E-4</v>
      </c>
      <c r="H63" s="10">
        <v>4.9084977000000004E-7</v>
      </c>
      <c r="I63" s="10">
        <v>1.6292863E-5</v>
      </c>
      <c r="J63" s="10">
        <v>5.4666946999999999E-7</v>
      </c>
      <c r="K63" s="10">
        <v>6.9136546000000002E-7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6" tint="0.59999389629810485"/>
    <outlinePr summaryBelow="0"/>
  </sheetPr>
  <dimension ref="A1:V63"/>
  <sheetViews>
    <sheetView zoomScale="70" zoomScaleNormal="70" workbookViewId="0">
      <selection activeCell="C4" sqref="C4"/>
    </sheetView>
  </sheetViews>
  <sheetFormatPr defaultRowHeight="14.4" outlineLevelRow="1" x14ac:dyDescent="0.3"/>
  <cols>
    <col min="1" max="1" width="35.5546875" bestFit="1" customWidth="1"/>
    <col min="2" max="2" width="14.21875" customWidth="1"/>
    <col min="3" max="9" width="15" customWidth="1"/>
  </cols>
  <sheetData>
    <row r="1" spans="1:22" x14ac:dyDescent="0.3">
      <c r="A1" t="s">
        <v>678</v>
      </c>
      <c r="B1" t="s">
        <v>1180</v>
      </c>
      <c r="C1" s="218"/>
      <c r="D1" s="218"/>
      <c r="E1" s="218"/>
      <c r="F1" s="218"/>
      <c r="G1" s="218"/>
      <c r="H1" s="218"/>
      <c r="I1" s="218"/>
      <c r="J1" s="218"/>
      <c r="K1" s="218"/>
      <c r="L1" s="218"/>
      <c r="M1" s="218"/>
      <c r="N1" s="218"/>
      <c r="O1" s="218"/>
      <c r="P1" s="218"/>
      <c r="Q1" s="218"/>
      <c r="R1" s="218"/>
      <c r="S1" s="218"/>
      <c r="T1" s="218"/>
      <c r="U1" s="218"/>
      <c r="V1" s="218"/>
    </row>
    <row r="2" spans="1:22" x14ac:dyDescent="0.3">
      <c r="A2" t="s">
        <v>389</v>
      </c>
      <c r="B2" t="s">
        <v>1023</v>
      </c>
      <c r="C2" s="218"/>
      <c r="D2" s="218"/>
      <c r="E2" s="218"/>
      <c r="F2" s="218"/>
      <c r="G2" s="218"/>
      <c r="H2" s="218"/>
      <c r="I2" s="218"/>
      <c r="J2" s="218"/>
      <c r="K2" s="218"/>
      <c r="L2" s="218"/>
      <c r="M2" s="218"/>
      <c r="N2" s="218"/>
      <c r="O2" s="218"/>
      <c r="P2" s="218"/>
      <c r="Q2" s="218"/>
      <c r="R2" s="218"/>
      <c r="S2" s="218"/>
      <c r="T2" s="218"/>
      <c r="U2" s="218"/>
      <c r="V2" s="218"/>
    </row>
    <row r="3" spans="1:22" x14ac:dyDescent="0.3">
      <c r="A3" t="s">
        <v>391</v>
      </c>
      <c r="B3" t="s">
        <v>392</v>
      </c>
      <c r="C3" s="218"/>
      <c r="D3" s="218"/>
      <c r="E3" s="218"/>
      <c r="F3" s="218"/>
      <c r="G3" s="218"/>
      <c r="H3" s="218"/>
      <c r="I3" s="218"/>
      <c r="J3" s="218"/>
      <c r="K3" s="218"/>
      <c r="L3" s="218"/>
      <c r="M3" s="218"/>
      <c r="N3" s="218"/>
      <c r="O3" s="218"/>
      <c r="P3" s="218"/>
      <c r="Q3" s="218"/>
      <c r="R3" s="218"/>
      <c r="S3" s="218"/>
      <c r="T3" s="218"/>
      <c r="U3" s="218"/>
      <c r="V3" s="218"/>
    </row>
    <row r="4" spans="1:22" x14ac:dyDescent="0.3">
      <c r="A4" t="s">
        <v>393</v>
      </c>
      <c r="B4" t="s">
        <v>394</v>
      </c>
      <c r="C4" s="218"/>
      <c r="D4" s="218"/>
      <c r="E4" s="218"/>
      <c r="F4" s="218"/>
      <c r="G4" s="218"/>
      <c r="H4" s="218"/>
      <c r="I4" s="218"/>
      <c r="J4" s="218"/>
      <c r="K4" s="218"/>
      <c r="L4" s="218"/>
      <c r="M4" s="218"/>
      <c r="N4" s="218"/>
      <c r="O4" s="218"/>
      <c r="P4" s="218"/>
      <c r="Q4" s="218"/>
      <c r="R4" s="218"/>
      <c r="S4" s="218"/>
      <c r="T4" s="218"/>
      <c r="U4" s="218"/>
      <c r="V4" s="218"/>
    </row>
    <row r="6" spans="1:22" s="384" customFormat="1" ht="22.95" customHeight="1" x14ac:dyDescent="0.3">
      <c r="A6" s="383" t="s">
        <v>882</v>
      </c>
      <c r="C6" s="392"/>
      <c r="D6" s="392"/>
      <c r="E6" s="392"/>
      <c r="F6" s="392"/>
      <c r="G6" s="392"/>
      <c r="H6" s="392"/>
      <c r="I6" s="392"/>
      <c r="J6" s="392"/>
      <c r="K6" s="392"/>
      <c r="L6" s="385"/>
      <c r="M6" s="385"/>
      <c r="N6" s="385"/>
      <c r="O6" s="385"/>
      <c r="P6" s="385"/>
      <c r="Q6" s="385"/>
      <c r="R6" s="385"/>
      <c r="S6" s="385"/>
      <c r="T6" s="385"/>
      <c r="U6" s="385"/>
      <c r="V6" s="385"/>
    </row>
    <row r="7" spans="1:22" s="395" customFormat="1" ht="72" outlineLevel="1" x14ac:dyDescent="0.3">
      <c r="A7" s="395" t="s">
        <v>395</v>
      </c>
      <c r="B7" s="395" t="s">
        <v>396</v>
      </c>
      <c r="C7" s="246" t="s">
        <v>684</v>
      </c>
      <c r="D7" s="246" t="s">
        <v>756</v>
      </c>
      <c r="E7" s="246" t="s">
        <v>885</v>
      </c>
      <c r="F7" s="246" t="s">
        <v>797</v>
      </c>
      <c r="G7" s="246" t="s">
        <v>698</v>
      </c>
      <c r="H7" s="246" t="s">
        <v>530</v>
      </c>
    </row>
    <row r="8" spans="1:22" outlineLevel="1" x14ac:dyDescent="0.3">
      <c r="A8" t="s">
        <v>397</v>
      </c>
      <c r="B8" t="s">
        <v>398</v>
      </c>
      <c r="C8" s="10">
        <v>20.125319999999999</v>
      </c>
      <c r="D8" s="10">
        <v>0.206956</v>
      </c>
      <c r="E8" s="10">
        <v>11.65827</v>
      </c>
      <c r="F8" s="10">
        <v>0.85664450999999997</v>
      </c>
      <c r="G8" s="10">
        <v>7.2926172999999999</v>
      </c>
      <c r="H8" s="10">
        <v>0.11083187</v>
      </c>
      <c r="J8" s="138"/>
      <c r="K8" s="138"/>
    </row>
    <row r="9" spans="1:22" outlineLevel="1" x14ac:dyDescent="0.3">
      <c r="A9" t="s">
        <v>399</v>
      </c>
      <c r="B9" t="s">
        <v>400</v>
      </c>
      <c r="C9" s="10">
        <v>1.8726246E-6</v>
      </c>
      <c r="D9" s="10">
        <v>0</v>
      </c>
      <c r="E9" s="10">
        <v>1.7353051999999999E-6</v>
      </c>
      <c r="F9" s="10">
        <v>8.4235593000000007E-8</v>
      </c>
      <c r="G9" s="10">
        <v>4.5995932999999999E-8</v>
      </c>
      <c r="H9" s="10">
        <v>7.0878513000000001E-9</v>
      </c>
      <c r="J9" s="138"/>
      <c r="K9" s="138"/>
    </row>
    <row r="10" spans="1:22" outlineLevel="1" x14ac:dyDescent="0.3">
      <c r="A10" t="s">
        <v>1024</v>
      </c>
      <c r="B10" t="s">
        <v>401</v>
      </c>
      <c r="C10" s="10">
        <v>0.43147613000000001</v>
      </c>
      <c r="D10" s="10">
        <v>0</v>
      </c>
      <c r="E10" s="10">
        <v>0.35057232999999999</v>
      </c>
      <c r="F10" s="10">
        <v>3.420285E-2</v>
      </c>
      <c r="G10" s="10">
        <v>4.1301722999999999E-2</v>
      </c>
      <c r="H10" s="10">
        <v>5.3992262999999997E-3</v>
      </c>
      <c r="J10" s="138"/>
      <c r="K10" s="138"/>
    </row>
    <row r="11" spans="1:22" outlineLevel="1" x14ac:dyDescent="0.3">
      <c r="A11" t="s">
        <v>1025</v>
      </c>
      <c r="B11" t="s">
        <v>402</v>
      </c>
      <c r="C11" s="10">
        <v>0.13578983</v>
      </c>
      <c r="D11" s="10">
        <v>0</v>
      </c>
      <c r="E11" s="10">
        <v>0.10893209</v>
      </c>
      <c r="F11" s="10">
        <v>4.0417548999999997E-3</v>
      </c>
      <c r="G11" s="10">
        <v>2.2316987E-2</v>
      </c>
      <c r="H11" s="10">
        <v>4.9899655E-4</v>
      </c>
      <c r="J11" s="138"/>
      <c r="K11" s="138"/>
    </row>
    <row r="12" spans="1:22" outlineLevel="1" x14ac:dyDescent="0.3">
      <c r="A12" t="s">
        <v>1026</v>
      </c>
      <c r="B12" t="s">
        <v>403</v>
      </c>
      <c r="C12" s="10">
        <v>1.1719538000000001E-5</v>
      </c>
      <c r="D12" s="10">
        <v>0</v>
      </c>
      <c r="E12" s="10">
        <v>1.11068E-5</v>
      </c>
      <c r="F12" s="10">
        <v>8.7800646999999997E-8</v>
      </c>
      <c r="G12" s="10">
        <v>5.1649556000000004E-7</v>
      </c>
      <c r="H12" s="10">
        <v>8.4410891999999996E-9</v>
      </c>
      <c r="J12" s="138"/>
      <c r="K12" s="138"/>
    </row>
    <row r="13" spans="1:22" outlineLevel="1" x14ac:dyDescent="0.3">
      <c r="A13" t="s">
        <v>1027</v>
      </c>
      <c r="B13" t="s">
        <v>404</v>
      </c>
      <c r="C13" s="10">
        <v>4.0431374000000001E-7</v>
      </c>
      <c r="D13" s="10">
        <v>0</v>
      </c>
      <c r="E13" s="10">
        <v>2.7583740999999999E-7</v>
      </c>
      <c r="F13" s="10">
        <v>4.4941889999999998E-8</v>
      </c>
      <c r="G13" s="10">
        <v>7.2212724000000004E-8</v>
      </c>
      <c r="H13" s="10">
        <v>1.1321718E-8</v>
      </c>
      <c r="J13" s="138"/>
      <c r="K13" s="138"/>
    </row>
    <row r="14" spans="1:22" outlineLevel="1" x14ac:dyDescent="0.3">
      <c r="A14" t="s">
        <v>1028</v>
      </c>
      <c r="B14" t="s">
        <v>404</v>
      </c>
      <c r="C14" s="10">
        <v>1.7940434E-8</v>
      </c>
      <c r="D14" s="10">
        <v>0</v>
      </c>
      <c r="E14" s="10">
        <v>1.4882569E-8</v>
      </c>
      <c r="F14" s="10">
        <v>1.1638255999999999E-9</v>
      </c>
      <c r="G14" s="10">
        <v>1.472156E-9</v>
      </c>
      <c r="H14" s="10">
        <v>4.2188274999999999E-10</v>
      </c>
      <c r="J14" s="138"/>
      <c r="K14" s="138"/>
    </row>
    <row r="15" spans="1:22" outlineLevel="1" x14ac:dyDescent="0.3">
      <c r="A15" t="s">
        <v>1029</v>
      </c>
      <c r="B15" t="s">
        <v>405</v>
      </c>
      <c r="C15" s="10">
        <v>0.89250211999999995</v>
      </c>
      <c r="D15" s="10">
        <v>0</v>
      </c>
      <c r="E15" s="10">
        <v>0.84520669000000004</v>
      </c>
      <c r="F15" s="10">
        <v>8.1191001000000002E-3</v>
      </c>
      <c r="G15" s="10">
        <v>3.7834251999999999E-2</v>
      </c>
      <c r="H15" s="10">
        <v>1.3420773E-3</v>
      </c>
      <c r="J15" s="138"/>
      <c r="K15" s="138"/>
    </row>
    <row r="16" spans="1:22" outlineLevel="1" x14ac:dyDescent="0.3">
      <c r="A16" t="s">
        <v>1030</v>
      </c>
      <c r="B16" t="s">
        <v>406</v>
      </c>
      <c r="C16" s="10">
        <v>7.5063460000000001E-4</v>
      </c>
      <c r="D16" s="10">
        <v>0</v>
      </c>
      <c r="E16" s="10">
        <v>5.3502303999999998E-4</v>
      </c>
      <c r="F16" s="10">
        <v>4.9453697999999998E-5</v>
      </c>
      <c r="G16" s="10">
        <v>1.5334508E-4</v>
      </c>
      <c r="H16" s="10">
        <v>1.2812781E-5</v>
      </c>
      <c r="J16" s="138"/>
      <c r="K16" s="138"/>
    </row>
    <row r="17" spans="1:22" outlineLevel="1" x14ac:dyDescent="0.3">
      <c r="A17" t="s">
        <v>1031</v>
      </c>
      <c r="B17" t="s">
        <v>407</v>
      </c>
      <c r="C17" s="10">
        <v>3.0066580999999998E-2</v>
      </c>
      <c r="D17" s="10">
        <v>0</v>
      </c>
      <c r="E17" s="10">
        <v>2.0412458000000001E-2</v>
      </c>
      <c r="F17" s="10">
        <v>1.6823303E-3</v>
      </c>
      <c r="G17" s="10">
        <v>7.8308619999999992E-3</v>
      </c>
      <c r="H17" s="10">
        <v>1.4093052999999999E-4</v>
      </c>
      <c r="J17" s="138"/>
      <c r="K17" s="138"/>
    </row>
    <row r="18" spans="1:22" outlineLevel="1" x14ac:dyDescent="0.3">
      <c r="A18" t="s">
        <v>1032</v>
      </c>
      <c r="B18" t="s">
        <v>408</v>
      </c>
      <c r="C18" s="10">
        <v>0.43361539999999998</v>
      </c>
      <c r="D18" s="10">
        <v>0</v>
      </c>
      <c r="E18" s="10">
        <v>0.32347725999999999</v>
      </c>
      <c r="F18" s="10">
        <v>2.2189791E-2</v>
      </c>
      <c r="G18" s="10">
        <v>8.6155269000000007E-2</v>
      </c>
      <c r="H18" s="10">
        <v>1.7930829E-3</v>
      </c>
      <c r="J18" s="138"/>
      <c r="K18" s="138"/>
    </row>
    <row r="19" spans="1:22" outlineLevel="1" x14ac:dyDescent="0.3">
      <c r="A19" t="s">
        <v>1033</v>
      </c>
      <c r="B19" t="s">
        <v>409</v>
      </c>
      <c r="C19" s="10">
        <v>1633.4876999999999</v>
      </c>
      <c r="D19" s="10">
        <v>0</v>
      </c>
      <c r="E19" s="10">
        <v>1382.0275999999999</v>
      </c>
      <c r="F19" s="10">
        <v>56.748584999999999</v>
      </c>
      <c r="G19" s="10">
        <v>184.28620000000001</v>
      </c>
      <c r="H19" s="10">
        <v>10.425316</v>
      </c>
      <c r="J19" s="138"/>
      <c r="K19" s="138"/>
    </row>
    <row r="20" spans="1:22" outlineLevel="1" x14ac:dyDescent="0.3">
      <c r="A20" t="s">
        <v>410</v>
      </c>
      <c r="B20" t="s">
        <v>411</v>
      </c>
      <c r="C20" s="10">
        <v>76.580556000000001</v>
      </c>
      <c r="D20" s="10">
        <v>0</v>
      </c>
      <c r="E20" s="10">
        <v>48.479073999999997</v>
      </c>
      <c r="F20" s="10">
        <v>12.411239999999999</v>
      </c>
      <c r="G20" s="10">
        <v>13.848931</v>
      </c>
      <c r="H20" s="10">
        <v>1.8413120000000001</v>
      </c>
      <c r="J20" s="138"/>
      <c r="K20" s="138"/>
    </row>
    <row r="21" spans="1:22" outlineLevel="1" x14ac:dyDescent="0.3">
      <c r="A21" t="s">
        <v>1034</v>
      </c>
      <c r="B21" t="s">
        <v>412</v>
      </c>
      <c r="C21" s="10">
        <v>7.5642974000000001</v>
      </c>
      <c r="D21" s="10">
        <v>0</v>
      </c>
      <c r="E21" s="10">
        <v>6.1512468</v>
      </c>
      <c r="F21" s="10">
        <v>0.63788973000000004</v>
      </c>
      <c r="G21" s="10">
        <v>0.74600668000000003</v>
      </c>
      <c r="H21" s="10">
        <v>2.9154156000000001E-2</v>
      </c>
      <c r="J21" s="138"/>
      <c r="K21" s="138"/>
    </row>
    <row r="22" spans="1:22" outlineLevel="1" x14ac:dyDescent="0.3">
      <c r="A22" t="s">
        <v>1035</v>
      </c>
      <c r="B22" t="s">
        <v>21</v>
      </c>
      <c r="C22" s="10">
        <v>208.52237</v>
      </c>
      <c r="D22" s="10">
        <v>0</v>
      </c>
      <c r="E22" s="10">
        <v>132.56258</v>
      </c>
      <c r="F22" s="10">
        <v>10.345166000000001</v>
      </c>
      <c r="G22" s="10">
        <v>64.285070000000005</v>
      </c>
      <c r="H22" s="10">
        <v>1.3295551999999999</v>
      </c>
      <c r="J22" s="138"/>
      <c r="K22" s="138"/>
    </row>
    <row r="23" spans="1:22" outlineLevel="1" x14ac:dyDescent="0.3">
      <c r="A23" t="s">
        <v>1036</v>
      </c>
      <c r="B23" t="s">
        <v>413</v>
      </c>
      <c r="C23" s="10">
        <v>1.3200775E-3</v>
      </c>
      <c r="D23" s="10">
        <v>0</v>
      </c>
      <c r="E23" s="10">
        <v>1.1819554999999999E-3</v>
      </c>
      <c r="F23" s="10">
        <v>9.8453979000000006E-5</v>
      </c>
      <c r="G23" s="10">
        <v>9.4855578999999996E-6</v>
      </c>
      <c r="H23" s="10">
        <v>3.0182529E-5</v>
      </c>
      <c r="J23" s="138"/>
      <c r="K23" s="138"/>
    </row>
    <row r="24" spans="1:22" x14ac:dyDescent="0.3">
      <c r="C24" s="10"/>
      <c r="D24" s="10"/>
      <c r="E24" s="10"/>
      <c r="F24" s="10"/>
      <c r="G24" s="10"/>
      <c r="H24" s="10"/>
    </row>
    <row r="26" spans="1:22" s="389" customFormat="1" ht="22.95" customHeight="1" x14ac:dyDescent="0.3">
      <c r="A26" s="388" t="s">
        <v>883</v>
      </c>
      <c r="C26" s="393"/>
      <c r="D26" s="393"/>
      <c r="E26" s="393"/>
      <c r="F26" s="393"/>
      <c r="G26" s="393"/>
      <c r="H26" s="393"/>
      <c r="I26" s="393"/>
      <c r="J26" s="393"/>
      <c r="K26" s="393"/>
      <c r="L26" s="390"/>
      <c r="M26" s="390"/>
      <c r="N26" s="390"/>
      <c r="O26" s="390"/>
      <c r="P26" s="390"/>
      <c r="Q26" s="390"/>
      <c r="R26" s="390"/>
      <c r="S26" s="390"/>
      <c r="T26" s="390"/>
      <c r="U26" s="390"/>
      <c r="V26" s="390"/>
    </row>
    <row r="27" spans="1:22" s="8" customFormat="1" ht="72" outlineLevel="1" x14ac:dyDescent="0.3">
      <c r="A27" s="371" t="s">
        <v>395</v>
      </c>
      <c r="B27" s="371" t="s">
        <v>396</v>
      </c>
      <c r="C27" s="246" t="s">
        <v>684</v>
      </c>
      <c r="D27" s="246" t="s">
        <v>880</v>
      </c>
      <c r="E27" s="246" t="s">
        <v>886</v>
      </c>
      <c r="F27" s="246" t="s">
        <v>798</v>
      </c>
      <c r="G27" s="246" t="s">
        <v>698</v>
      </c>
      <c r="H27" s="246" t="s">
        <v>530</v>
      </c>
    </row>
    <row r="28" spans="1:22" outlineLevel="1" x14ac:dyDescent="0.3">
      <c r="A28" t="s">
        <v>397</v>
      </c>
      <c r="B28" t="s">
        <v>398</v>
      </c>
      <c r="C28" s="10">
        <v>21.590923</v>
      </c>
      <c r="D28" s="10">
        <v>0</v>
      </c>
      <c r="E28" s="10">
        <v>12.307703999999999</v>
      </c>
      <c r="F28" s="10">
        <v>1.4721365</v>
      </c>
      <c r="G28" s="10">
        <v>0.11083187</v>
      </c>
      <c r="H28" s="10">
        <v>7.7002503000000004</v>
      </c>
      <c r="K28" s="138"/>
    </row>
    <row r="29" spans="1:22" outlineLevel="1" x14ac:dyDescent="0.3">
      <c r="A29" t="s">
        <v>399</v>
      </c>
      <c r="B29" t="s">
        <v>400</v>
      </c>
      <c r="C29" s="10">
        <v>1.7952889E-6</v>
      </c>
      <c r="D29" s="10">
        <v>0</v>
      </c>
      <c r="E29" s="10">
        <v>1.6124442E-6</v>
      </c>
      <c r="F29" s="10">
        <v>1.2718998E-7</v>
      </c>
      <c r="G29" s="10">
        <v>7.0878514000000001E-9</v>
      </c>
      <c r="H29" s="10">
        <v>4.8566951999999999E-8</v>
      </c>
    </row>
    <row r="30" spans="1:22" outlineLevel="1" x14ac:dyDescent="0.3">
      <c r="A30" t="s">
        <v>1024</v>
      </c>
      <c r="B30" t="s">
        <v>401</v>
      </c>
      <c r="C30" s="10">
        <v>0.50938267999999998</v>
      </c>
      <c r="D30" s="10">
        <v>0</v>
      </c>
      <c r="E30" s="10">
        <v>0.40810465000000001</v>
      </c>
      <c r="F30" s="10">
        <v>5.2268449000000002E-2</v>
      </c>
      <c r="G30" s="10">
        <v>5.3992262999999997E-3</v>
      </c>
      <c r="H30" s="10">
        <v>4.3610350999999999E-2</v>
      </c>
    </row>
    <row r="31" spans="1:22" outlineLevel="1" x14ac:dyDescent="0.3">
      <c r="A31" t="s">
        <v>1025</v>
      </c>
      <c r="B31" t="s">
        <v>402</v>
      </c>
      <c r="C31" s="10">
        <v>0.21417752000000001</v>
      </c>
      <c r="D31" s="10">
        <v>0</v>
      </c>
      <c r="E31" s="10">
        <v>0.18480473</v>
      </c>
      <c r="F31" s="10">
        <v>5.3093558000000003E-3</v>
      </c>
      <c r="G31" s="10">
        <v>4.9899655999999996E-4</v>
      </c>
      <c r="H31" s="10">
        <v>2.3564432E-2</v>
      </c>
    </row>
    <row r="32" spans="1:22" outlineLevel="1" x14ac:dyDescent="0.3">
      <c r="A32" t="s">
        <v>1026</v>
      </c>
      <c r="B32" t="s">
        <v>403</v>
      </c>
      <c r="C32" s="10">
        <v>5.9179870000000002E-6</v>
      </c>
      <c r="D32" s="10">
        <v>0</v>
      </c>
      <c r="E32" s="10">
        <v>5.2618329999999996E-6</v>
      </c>
      <c r="F32" s="10">
        <v>1.0234695E-7</v>
      </c>
      <c r="G32" s="10">
        <v>8.4410892999999996E-9</v>
      </c>
      <c r="H32" s="10">
        <v>5.4536592999999997E-7</v>
      </c>
    </row>
    <row r="33" spans="1:22" outlineLevel="1" x14ac:dyDescent="0.3">
      <c r="A33" t="s">
        <v>1027</v>
      </c>
      <c r="B33" t="s">
        <v>404</v>
      </c>
      <c r="C33" s="10">
        <v>5.2723626999999997E-7</v>
      </c>
      <c r="D33" s="10">
        <v>0</v>
      </c>
      <c r="E33" s="10">
        <v>3.8580491E-7</v>
      </c>
      <c r="F33" s="10">
        <v>5.3860462999999999E-8</v>
      </c>
      <c r="G33" s="10">
        <v>1.1321718E-8</v>
      </c>
      <c r="H33" s="10">
        <v>7.6249174000000006E-8</v>
      </c>
    </row>
    <row r="34" spans="1:22" outlineLevel="1" x14ac:dyDescent="0.3">
      <c r="A34" t="s">
        <v>1028</v>
      </c>
      <c r="B34" t="s">
        <v>404</v>
      </c>
      <c r="C34" s="10">
        <v>3.0070138000000002E-8</v>
      </c>
      <c r="D34" s="10">
        <v>0</v>
      </c>
      <c r="E34" s="10">
        <v>2.6717582000000001E-8</v>
      </c>
      <c r="F34" s="10">
        <v>1.3762291E-9</v>
      </c>
      <c r="G34" s="10">
        <v>4.2188275999999999E-10</v>
      </c>
      <c r="H34" s="10">
        <v>1.5544446000000001E-9</v>
      </c>
    </row>
    <row r="35" spans="1:22" outlineLevel="1" x14ac:dyDescent="0.3">
      <c r="A35" t="s">
        <v>1029</v>
      </c>
      <c r="B35" t="s">
        <v>405</v>
      </c>
      <c r="C35" s="10">
        <v>1.9063078</v>
      </c>
      <c r="D35" s="10">
        <v>0</v>
      </c>
      <c r="E35" s="10">
        <v>1.8548751000000001</v>
      </c>
      <c r="F35" s="10">
        <v>1.0141578E-2</v>
      </c>
      <c r="G35" s="10">
        <v>1.3420773E-3</v>
      </c>
      <c r="H35" s="10">
        <v>3.9949061000000001E-2</v>
      </c>
    </row>
    <row r="36" spans="1:22" outlineLevel="1" x14ac:dyDescent="0.3">
      <c r="A36" t="s">
        <v>1030</v>
      </c>
      <c r="B36" t="s">
        <v>406</v>
      </c>
      <c r="C36" s="10">
        <v>1.1703268E-3</v>
      </c>
      <c r="D36" s="10">
        <v>0</v>
      </c>
      <c r="E36" s="10">
        <v>9.3315002999999998E-4</v>
      </c>
      <c r="F36" s="10">
        <v>6.2447438000000005E-5</v>
      </c>
      <c r="G36" s="10">
        <v>1.2812781E-5</v>
      </c>
      <c r="H36" s="10">
        <v>1.6191656E-4</v>
      </c>
    </row>
    <row r="37" spans="1:22" outlineLevel="1" x14ac:dyDescent="0.3">
      <c r="A37" t="s">
        <v>1031</v>
      </c>
      <c r="B37" t="s">
        <v>407</v>
      </c>
      <c r="C37" s="10">
        <v>3.6151836999999999E-2</v>
      </c>
      <c r="D37" s="10">
        <v>0</v>
      </c>
      <c r="E37" s="10">
        <v>2.5678294000000001E-2</v>
      </c>
      <c r="F37" s="10">
        <v>2.0640305999999999E-3</v>
      </c>
      <c r="G37" s="10">
        <v>1.4093052999999999E-4</v>
      </c>
      <c r="H37" s="10">
        <v>8.2685811000000001E-3</v>
      </c>
    </row>
    <row r="38" spans="1:22" outlineLevel="1" x14ac:dyDescent="0.3">
      <c r="A38" t="s">
        <v>1032</v>
      </c>
      <c r="B38" t="s">
        <v>408</v>
      </c>
      <c r="C38" s="10">
        <v>0.53725608000000002</v>
      </c>
      <c r="D38" s="10">
        <v>0</v>
      </c>
      <c r="E38" s="10">
        <v>0.41782346999999997</v>
      </c>
      <c r="F38" s="10">
        <v>2.6668463999999999E-2</v>
      </c>
      <c r="G38" s="10">
        <v>1.7930829E-3</v>
      </c>
      <c r="H38" s="10">
        <v>9.0971060000000006E-2</v>
      </c>
    </row>
    <row r="39" spans="1:22" outlineLevel="1" x14ac:dyDescent="0.3">
      <c r="A39" t="s">
        <v>1033</v>
      </c>
      <c r="B39" t="s">
        <v>409</v>
      </c>
      <c r="C39" s="10">
        <v>3239.1988000000001</v>
      </c>
      <c r="D39" s="10">
        <v>0</v>
      </c>
      <c r="E39" s="10">
        <v>2964.8179</v>
      </c>
      <c r="F39" s="10">
        <v>69.368431999999999</v>
      </c>
      <c r="G39" s="10">
        <v>10.425316</v>
      </c>
      <c r="H39" s="10">
        <v>194.58717999999999</v>
      </c>
    </row>
    <row r="40" spans="1:22" outlineLevel="1" x14ac:dyDescent="0.3">
      <c r="A40" t="s">
        <v>410</v>
      </c>
      <c r="B40" t="s">
        <v>411</v>
      </c>
      <c r="C40" s="10">
        <v>106.95739</v>
      </c>
      <c r="D40" s="10">
        <v>0</v>
      </c>
      <c r="E40" s="10">
        <v>76.262484000000001</v>
      </c>
      <c r="F40" s="10">
        <v>14.230556</v>
      </c>
      <c r="G40" s="10">
        <v>1.8413120000000001</v>
      </c>
      <c r="H40" s="10">
        <v>14.62304</v>
      </c>
    </row>
    <row r="41" spans="1:22" outlineLevel="1" x14ac:dyDescent="0.3">
      <c r="A41" t="s">
        <v>1034</v>
      </c>
      <c r="B41" t="s">
        <v>412</v>
      </c>
      <c r="C41" s="10">
        <v>7.0778071000000002</v>
      </c>
      <c r="D41" s="10">
        <v>0</v>
      </c>
      <c r="E41" s="10">
        <v>5.5312488000000002</v>
      </c>
      <c r="F41" s="10">
        <v>0.72969819000000002</v>
      </c>
      <c r="G41" s="10">
        <v>2.9154156000000001E-2</v>
      </c>
      <c r="H41" s="10">
        <v>0.78770596000000004</v>
      </c>
    </row>
    <row r="42" spans="1:22" outlineLevel="1" x14ac:dyDescent="0.3">
      <c r="A42" t="s">
        <v>1035</v>
      </c>
      <c r="B42" t="s">
        <v>21</v>
      </c>
      <c r="C42" s="10">
        <v>231.42113000000001</v>
      </c>
      <c r="D42" s="10">
        <v>0</v>
      </c>
      <c r="E42" s="10">
        <v>147.01143999999999</v>
      </c>
      <c r="F42" s="10">
        <v>15.201738000000001</v>
      </c>
      <c r="G42" s="10">
        <v>1.3295551999999999</v>
      </c>
      <c r="H42" s="10">
        <v>67.878390999999993</v>
      </c>
    </row>
    <row r="43" spans="1:22" outlineLevel="1" x14ac:dyDescent="0.3">
      <c r="A43" t="s">
        <v>1036</v>
      </c>
      <c r="B43" t="s">
        <v>413</v>
      </c>
      <c r="C43" s="10">
        <v>1.5025842E-3</v>
      </c>
      <c r="D43" s="10">
        <v>0</v>
      </c>
      <c r="E43" s="10">
        <v>1.3523121999999999E-3</v>
      </c>
      <c r="F43" s="10">
        <v>1.1007374E-4</v>
      </c>
      <c r="G43" s="10">
        <v>3.018253E-5</v>
      </c>
      <c r="H43" s="10">
        <v>1.0015769E-5</v>
      </c>
    </row>
    <row r="46" spans="1:22" s="368" customFormat="1" ht="22.95" customHeight="1" x14ac:dyDescent="0.3">
      <c r="A46" s="386" t="s">
        <v>884</v>
      </c>
      <c r="C46" s="394"/>
      <c r="D46" s="394"/>
      <c r="E46" s="394"/>
      <c r="F46" s="394"/>
      <c r="G46" s="394"/>
      <c r="H46" s="394"/>
      <c r="I46" s="394"/>
      <c r="J46" s="394"/>
      <c r="K46" s="394"/>
      <c r="L46" s="387"/>
      <c r="M46" s="387"/>
      <c r="N46" s="387"/>
      <c r="O46" s="387"/>
      <c r="P46" s="387"/>
      <c r="Q46" s="387"/>
      <c r="R46" s="387"/>
      <c r="S46" s="387"/>
      <c r="T46" s="387"/>
      <c r="U46" s="387"/>
      <c r="V46" s="387"/>
    </row>
    <row r="47" spans="1:22" s="8" customFormat="1" ht="72" outlineLevel="1" x14ac:dyDescent="0.3">
      <c r="A47" s="371" t="s">
        <v>395</v>
      </c>
      <c r="B47" s="371" t="s">
        <v>396</v>
      </c>
      <c r="C47" s="246" t="s">
        <v>684</v>
      </c>
      <c r="D47" s="246" t="s">
        <v>881</v>
      </c>
      <c r="E47" s="246" t="s">
        <v>887</v>
      </c>
      <c r="F47" s="246" t="s">
        <v>798</v>
      </c>
      <c r="G47" s="246" t="s">
        <v>698</v>
      </c>
      <c r="H47" s="246" t="s">
        <v>530</v>
      </c>
    </row>
    <row r="48" spans="1:22" outlineLevel="1" x14ac:dyDescent="0.3">
      <c r="A48" t="s">
        <v>397</v>
      </c>
      <c r="B48" t="s">
        <v>398</v>
      </c>
      <c r="C48" s="10">
        <v>22.511119999999998</v>
      </c>
      <c r="D48" s="10">
        <v>0</v>
      </c>
      <c r="E48" s="10">
        <v>13.205174</v>
      </c>
      <c r="F48" s="10">
        <v>1.4948638999999999</v>
      </c>
      <c r="G48" s="10">
        <v>0.11083187</v>
      </c>
      <c r="H48" s="10">
        <v>7.7002503000000004</v>
      </c>
      <c r="J48" s="138"/>
      <c r="K48" s="138"/>
    </row>
    <row r="49" spans="1:10" outlineLevel="1" x14ac:dyDescent="0.3">
      <c r="A49" t="s">
        <v>399</v>
      </c>
      <c r="B49" t="s">
        <v>400</v>
      </c>
      <c r="C49" s="10">
        <v>1.8926228E-6</v>
      </c>
      <c r="D49" s="10">
        <v>0</v>
      </c>
      <c r="E49" s="10">
        <v>1.7078143999999999E-6</v>
      </c>
      <c r="F49" s="10">
        <v>1.2915358999999999E-7</v>
      </c>
      <c r="G49" s="10">
        <v>7.0878513000000001E-9</v>
      </c>
      <c r="H49" s="10">
        <v>4.8566951999999999E-8</v>
      </c>
      <c r="J49" s="138"/>
    </row>
    <row r="50" spans="1:10" outlineLevel="1" x14ac:dyDescent="0.3">
      <c r="A50" t="s">
        <v>1024</v>
      </c>
      <c r="B50" t="s">
        <v>401</v>
      </c>
      <c r="C50" s="10">
        <v>0.53162631000000005</v>
      </c>
      <c r="D50" s="10">
        <v>0</v>
      </c>
      <c r="E50" s="10">
        <v>0.42954134999999999</v>
      </c>
      <c r="F50" s="10">
        <v>5.3075391E-2</v>
      </c>
      <c r="G50" s="10">
        <v>5.3992262999999997E-3</v>
      </c>
      <c r="H50" s="10">
        <v>4.3610350999999999E-2</v>
      </c>
      <c r="J50" s="138"/>
    </row>
    <row r="51" spans="1:10" outlineLevel="1" x14ac:dyDescent="0.3">
      <c r="A51" t="s">
        <v>1025</v>
      </c>
      <c r="B51" t="s">
        <v>402</v>
      </c>
      <c r="C51" s="10">
        <v>0.22114921000000001</v>
      </c>
      <c r="D51" s="10">
        <v>0</v>
      </c>
      <c r="E51" s="10">
        <v>0.19169446000000001</v>
      </c>
      <c r="F51" s="10">
        <v>5.3913238000000002E-3</v>
      </c>
      <c r="G51" s="10">
        <v>4.9899655999999996E-4</v>
      </c>
      <c r="H51" s="10">
        <v>2.3564432999999999E-2</v>
      </c>
      <c r="J51" s="138"/>
    </row>
    <row r="52" spans="1:10" outlineLevel="1" x14ac:dyDescent="0.3">
      <c r="A52" t="s">
        <v>1026</v>
      </c>
      <c r="B52" t="s">
        <v>403</v>
      </c>
      <c r="C52" s="10">
        <v>7.8003944000000008E-6</v>
      </c>
      <c r="D52" s="10">
        <v>0</v>
      </c>
      <c r="E52" s="10">
        <v>7.1426602999999998E-6</v>
      </c>
      <c r="F52" s="10">
        <v>1.0392701999999999E-7</v>
      </c>
      <c r="G52" s="10">
        <v>8.4410891999999996E-9</v>
      </c>
      <c r="H52" s="10">
        <v>5.4536594000000001E-7</v>
      </c>
      <c r="J52" s="138"/>
    </row>
    <row r="53" spans="1:10" outlineLevel="1" x14ac:dyDescent="0.3">
      <c r="A53" t="s">
        <v>1027</v>
      </c>
      <c r="B53" t="s">
        <v>404</v>
      </c>
      <c r="C53" s="10">
        <v>5.4846737000000003E-7</v>
      </c>
      <c r="D53" s="10">
        <v>0</v>
      </c>
      <c r="E53" s="10">
        <v>4.0620449999999999E-7</v>
      </c>
      <c r="F53" s="10">
        <v>5.4691983000000002E-8</v>
      </c>
      <c r="G53" s="10">
        <v>1.1321718E-8</v>
      </c>
      <c r="H53" s="10">
        <v>7.6249174000000006E-8</v>
      </c>
      <c r="J53" s="138"/>
    </row>
    <row r="54" spans="1:10" outlineLevel="1" x14ac:dyDescent="0.3">
      <c r="A54" t="s">
        <v>1028</v>
      </c>
      <c r="B54" t="s">
        <v>404</v>
      </c>
      <c r="C54" s="10">
        <v>3.1009682999999999E-8</v>
      </c>
      <c r="D54" s="10">
        <v>0</v>
      </c>
      <c r="E54" s="10">
        <v>2.7635880000000002E-8</v>
      </c>
      <c r="F54" s="10">
        <v>1.3974759E-9</v>
      </c>
      <c r="G54" s="10">
        <v>4.2188275999999999E-10</v>
      </c>
      <c r="H54" s="10">
        <v>1.5544446000000001E-9</v>
      </c>
      <c r="J54" s="138"/>
    </row>
    <row r="55" spans="1:10" outlineLevel="1" x14ac:dyDescent="0.3">
      <c r="A55" t="s">
        <v>1029</v>
      </c>
      <c r="B55" t="s">
        <v>405</v>
      </c>
      <c r="C55" s="10">
        <v>1.971832</v>
      </c>
      <c r="D55" s="10">
        <v>0</v>
      </c>
      <c r="E55" s="10">
        <v>1.9202427</v>
      </c>
      <c r="F55" s="10">
        <v>1.0298148E-2</v>
      </c>
      <c r="G55" s="10">
        <v>1.3420773E-3</v>
      </c>
      <c r="H55" s="10">
        <v>3.9949061000000001E-2</v>
      </c>
      <c r="J55" s="138"/>
    </row>
    <row r="56" spans="1:10" outlineLevel="1" x14ac:dyDescent="0.3">
      <c r="A56" t="s">
        <v>1030</v>
      </c>
      <c r="B56" t="s">
        <v>406</v>
      </c>
      <c r="C56" s="10">
        <v>1.1948633000000001E-3</v>
      </c>
      <c r="D56" s="10">
        <v>0</v>
      </c>
      <c r="E56" s="10">
        <v>9.5672240000000005E-4</v>
      </c>
      <c r="F56" s="10">
        <v>6.3411527000000001E-5</v>
      </c>
      <c r="G56" s="10">
        <v>1.2812781E-5</v>
      </c>
      <c r="H56" s="10">
        <v>1.6191656E-4</v>
      </c>
      <c r="J56" s="138"/>
    </row>
    <row r="57" spans="1:10" outlineLevel="1" x14ac:dyDescent="0.3">
      <c r="A57" t="s">
        <v>1031</v>
      </c>
      <c r="B57" t="s">
        <v>407</v>
      </c>
      <c r="C57" s="10">
        <v>3.8917767999999998E-2</v>
      </c>
      <c r="D57" s="10">
        <v>0</v>
      </c>
      <c r="E57" s="10">
        <v>2.8412361000000001E-2</v>
      </c>
      <c r="F57" s="10">
        <v>2.0958959999999999E-3</v>
      </c>
      <c r="G57" s="10">
        <v>1.4093052999999999E-4</v>
      </c>
      <c r="H57" s="10">
        <v>8.2685811000000001E-3</v>
      </c>
      <c r="J57" s="138"/>
    </row>
    <row r="58" spans="1:10" outlineLevel="1" x14ac:dyDescent="0.3">
      <c r="A58" t="s">
        <v>1032</v>
      </c>
      <c r="B58" t="s">
        <v>408</v>
      </c>
      <c r="C58" s="10">
        <v>0.71165758000000001</v>
      </c>
      <c r="D58" s="10">
        <v>0</v>
      </c>
      <c r="E58" s="10">
        <v>0.59181324999999996</v>
      </c>
      <c r="F58" s="10">
        <v>2.7080183000000001E-2</v>
      </c>
      <c r="G58" s="10">
        <v>1.7930829E-3</v>
      </c>
      <c r="H58" s="10">
        <v>9.0971061000000006E-2</v>
      </c>
      <c r="J58" s="138"/>
    </row>
    <row r="59" spans="1:10" outlineLevel="1" x14ac:dyDescent="0.3">
      <c r="A59" t="s">
        <v>1033</v>
      </c>
      <c r="B59" t="s">
        <v>409</v>
      </c>
      <c r="C59" s="10">
        <v>3299.3908999999999</v>
      </c>
      <c r="D59" s="10">
        <v>0</v>
      </c>
      <c r="E59" s="10">
        <v>3023.9389999999999</v>
      </c>
      <c r="F59" s="10">
        <v>70.439369999999997</v>
      </c>
      <c r="G59" s="10">
        <v>10.425316</v>
      </c>
      <c r="H59" s="10">
        <v>194.58717999999999</v>
      </c>
      <c r="J59" s="138"/>
    </row>
    <row r="60" spans="1:10" outlineLevel="1" x14ac:dyDescent="0.3">
      <c r="A60" t="s">
        <v>410</v>
      </c>
      <c r="B60" t="s">
        <v>411</v>
      </c>
      <c r="C60" s="10">
        <v>109.1589</v>
      </c>
      <c r="D60" s="10">
        <v>0</v>
      </c>
      <c r="E60" s="10">
        <v>78.244298000000001</v>
      </c>
      <c r="F60" s="10">
        <v>14.450253</v>
      </c>
      <c r="G60" s="10">
        <v>1.8413120000000001</v>
      </c>
      <c r="H60" s="10">
        <v>14.62304</v>
      </c>
      <c r="J60" s="138"/>
    </row>
    <row r="61" spans="1:10" outlineLevel="1" x14ac:dyDescent="0.3">
      <c r="A61" t="s">
        <v>1034</v>
      </c>
      <c r="B61" t="s">
        <v>412</v>
      </c>
      <c r="C61" s="10">
        <v>7.7110116</v>
      </c>
      <c r="D61" s="10">
        <v>0</v>
      </c>
      <c r="E61" s="10">
        <v>6.1531878999999998</v>
      </c>
      <c r="F61" s="10">
        <v>0.74096357000000002</v>
      </c>
      <c r="G61" s="10">
        <v>2.9154156000000001E-2</v>
      </c>
      <c r="H61" s="10">
        <v>0.78770596999999998</v>
      </c>
      <c r="J61" s="138"/>
    </row>
    <row r="62" spans="1:10" outlineLevel="1" x14ac:dyDescent="0.3">
      <c r="A62" t="s">
        <v>1035</v>
      </c>
      <c r="B62" t="s">
        <v>21</v>
      </c>
      <c r="C62" s="10">
        <v>239.63679999999999</v>
      </c>
      <c r="D62" s="10">
        <v>0</v>
      </c>
      <c r="E62" s="10">
        <v>154.99243000000001</v>
      </c>
      <c r="F62" s="10">
        <v>15.436427999999999</v>
      </c>
      <c r="G62" s="10">
        <v>1.3295551999999999</v>
      </c>
      <c r="H62" s="10">
        <v>67.878392000000005</v>
      </c>
      <c r="J62" s="138"/>
    </row>
    <row r="63" spans="1:10" outlineLevel="1" x14ac:dyDescent="0.3">
      <c r="A63" t="s">
        <v>1036</v>
      </c>
      <c r="B63" t="s">
        <v>413</v>
      </c>
      <c r="C63" s="10">
        <v>1.5191798999999999E-3</v>
      </c>
      <c r="D63" s="10">
        <v>0</v>
      </c>
      <c r="E63" s="10">
        <v>1.3672084999999999E-3</v>
      </c>
      <c r="F63" s="10">
        <v>1.117731E-4</v>
      </c>
      <c r="G63" s="10">
        <v>3.018253E-5</v>
      </c>
      <c r="H63" s="10">
        <v>1.0015769E-5</v>
      </c>
      <c r="J63" s="138"/>
    </row>
  </sheetData>
  <conditionalFormatting sqref="J8:J23">
    <cfRule type="colorScale" priority="2">
      <colorScale>
        <cfvo type="min"/>
        <cfvo type="percentile" val="50"/>
        <cfvo type="max"/>
        <color rgb="FF63BE7B"/>
        <color rgb="FFFFEB84"/>
        <color rgb="FFF8696B"/>
      </colorScale>
    </cfRule>
  </conditionalFormatting>
  <conditionalFormatting sqref="J48:J63">
    <cfRule type="colorScale" priority="289">
      <colorScale>
        <cfvo type="min"/>
        <cfvo type="percentile" val="50"/>
        <cfvo type="max"/>
        <color rgb="FF63BE7B"/>
        <color rgb="FFFFEB84"/>
        <color rgb="FFF8696B"/>
      </colorScale>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20</vt:i4>
      </vt:variant>
      <vt:variant>
        <vt:lpstr>Named Ranges</vt:lpstr>
      </vt:variant>
      <vt:variant>
        <vt:i4>57</vt:i4>
      </vt:variant>
    </vt:vector>
  </HeadingPairs>
  <TitlesOfParts>
    <vt:vector size="77" baseType="lpstr">
      <vt:lpstr>CONTENT</vt:lpstr>
      <vt:lpstr>NMC111</vt:lpstr>
      <vt:lpstr>NMC811</vt:lpstr>
      <vt:lpstr>NCA</vt:lpstr>
      <vt:lpstr>parameters</vt:lpstr>
      <vt:lpstr>Ref.</vt:lpstr>
      <vt:lpstr>info solvents</vt:lpstr>
      <vt:lpstr>Alternative LCI_cobalt sulfate</vt:lpstr>
      <vt:lpstr>Alternative LCI_separator</vt:lpstr>
      <vt:lpstr>Results LCIA_EF</vt:lpstr>
      <vt:lpstr>Results LCIA_cf. literature</vt:lpstr>
      <vt:lpstr>cf. cobalt sulfate</vt:lpstr>
      <vt:lpstr>cobalt ecoinvent 3.7</vt:lpstr>
      <vt:lpstr>cf. separators</vt:lpstr>
      <vt:lpstr>cf. Si coating</vt:lpstr>
      <vt:lpstr>cf. energy</vt:lpstr>
      <vt:lpstr>contribution_pack</vt:lpstr>
      <vt:lpstr>contribution_cell</vt:lpstr>
      <vt:lpstr>contribution_cathode</vt:lpstr>
      <vt:lpstr>contribution_active material</vt:lpstr>
      <vt:lpstr>Al_cathode</vt:lpstr>
      <vt:lpstr>NCA!ammonia_liquid_cathode_precursor</vt:lpstr>
      <vt:lpstr>'NMC811'!ammonia_liquid_cathode_precursor</vt:lpstr>
      <vt:lpstr>ammonia_liquid_cathode_precursor</vt:lpstr>
      <vt:lpstr>chlorine_liquid</vt:lpstr>
      <vt:lpstr>NCA!cobalt</vt:lpstr>
      <vt:lpstr>NCA!cobalt_sulfate_in_cathode_precursor</vt:lpstr>
      <vt:lpstr>'NMC811'!cobalt_sulfate_in_cathode_precursor</vt:lpstr>
      <vt:lpstr>cobalt_sulfate_in_cathode_precursor</vt:lpstr>
      <vt:lpstr>ethylene_carbonate</vt:lpstr>
      <vt:lpstr>gal_to_kg</vt:lpstr>
      <vt:lpstr>H2SO4_in_anode_slurry</vt:lpstr>
      <vt:lpstr>NCA!H2SO4_in_cobalt_sulfate</vt:lpstr>
      <vt:lpstr>H2SO4_in_cobalt_sulfate</vt:lpstr>
      <vt:lpstr>NCA!heat_drying_cathode</vt:lpstr>
      <vt:lpstr>'NMC811'!heat_drying_cathode</vt:lpstr>
      <vt:lpstr>heat_drying_cathode</vt:lpstr>
      <vt:lpstr>kWh_cell_NCA</vt:lpstr>
      <vt:lpstr>kWh_cell_NMC111</vt:lpstr>
      <vt:lpstr>kWh_cell_NMC811</vt:lpstr>
      <vt:lpstr>NCA!manganese_sulfate</vt:lpstr>
      <vt:lpstr>'NMC811'!manganese_sulfate</vt:lpstr>
      <vt:lpstr>manganese_sulfate</vt:lpstr>
      <vt:lpstr>MJ_to_kWh</vt:lpstr>
      <vt:lpstr>mmBTU_to_MJ</vt:lpstr>
      <vt:lpstr>NCA!NaOH_in_cathode_precursor</vt:lpstr>
      <vt:lpstr>'NMC811'!NaOH_in_cathode_precursor</vt:lpstr>
      <vt:lpstr>NaOH_in_cathode_precursor</vt:lpstr>
      <vt:lpstr>NaOH_in_cathode_slurry</vt:lpstr>
      <vt:lpstr>NCA!NaOH_in_sodium_metabisulfite</vt:lpstr>
      <vt:lpstr>'NMC811'!NaOH_in_sodium_metabisulfite</vt:lpstr>
      <vt:lpstr>NaOH_in_sodium_metabisulfite</vt:lpstr>
      <vt:lpstr>NCA!nickel_sulfate</vt:lpstr>
      <vt:lpstr>'NMC811'!nickel_sulfate</vt:lpstr>
      <vt:lpstr>nickel_sulfate</vt:lpstr>
      <vt:lpstr>NCA!NMP</vt:lpstr>
      <vt:lpstr>'NMC811'!NMP</vt:lpstr>
      <vt:lpstr>NMP</vt:lpstr>
      <vt:lpstr>process_efficiency</vt:lpstr>
      <vt:lpstr>NCA!Si_coating</vt:lpstr>
      <vt:lpstr>'NMC811'!Si_coating</vt:lpstr>
      <vt:lpstr>NCA!SO2_air</vt:lpstr>
      <vt:lpstr>'NMC811'!SO2_air</vt:lpstr>
      <vt:lpstr>SO2_air</vt:lpstr>
      <vt:lpstr>NCA!SO2_liquid</vt:lpstr>
      <vt:lpstr>'NMC811'!SO2_liquid</vt:lpstr>
      <vt:lpstr>SO2_liquid</vt:lpstr>
      <vt:lpstr>specific_energy_NCA</vt:lpstr>
      <vt:lpstr>specific_energy_NMC111</vt:lpstr>
      <vt:lpstr>specific_energy_NMC811</vt:lpstr>
      <vt:lpstr>triethyl_amine</vt:lpstr>
      <vt:lpstr>NCA!water_cathode_precursor</vt:lpstr>
      <vt:lpstr>'NMC811'!water_cathode_precursor</vt:lpstr>
      <vt:lpstr>water_cathode_precursor</vt:lpstr>
      <vt:lpstr>NCA!water_deionised</vt:lpstr>
      <vt:lpstr>'NMC811'!water_deionised</vt:lpstr>
      <vt:lpstr>water_deionised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Marin PELLAN</cp:lastModifiedBy>
  <dcterms:created xsi:type="dcterms:W3CDTF">2018-12-14T08:31:03Z</dcterms:created>
  <dcterms:modified xsi:type="dcterms:W3CDTF">2024-11-14T20:57:38Z</dcterms:modified>
</cp:coreProperties>
</file>