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polymtlca0-my.sharepoint.com/personal/marin_pellan_polymtlus_ca/Documents/Desktop/POST_DOC/Project/regional_minerals_sustainability/data/LCI/rsc/"/>
    </mc:Choice>
  </mc:AlternateContent>
  <xr:revisionPtr revIDLastSave="6" documentId="13_ncr:1_{7F1ED69B-120C-46BF-8C1A-3010D7151EBE}" xr6:coauthVersionLast="47" xr6:coauthVersionMax="47" xr10:uidLastSave="{EAB7B447-5BF0-474C-8B4D-47C1B4716E30}"/>
  <bookViews>
    <workbookView xWindow="22932" yWindow="-108" windowWidth="23256" windowHeight="12456" activeTab="2" xr2:uid="{00000000-000D-0000-FFFF-FFFF00000000}"/>
  </bookViews>
  <sheets>
    <sheet name="Nickel - List" sheetId="22" r:id="rId1"/>
    <sheet name="Nickel - Con - Breakdown" sheetId="23" r:id="rId2"/>
    <sheet name="Nickel - Lat-Lim - Breakdown" sheetId="24" r:id="rId3"/>
    <sheet name="Nickel - Lat-Sap - Breakdown" sheetId="26" r:id="rId4"/>
    <sheet name="Lithium - List" sheetId="19" r:id="rId5"/>
    <sheet name="Lithium - Car - Breakdown" sheetId="20" r:id="rId6"/>
    <sheet name="Lithium - Con - Breakdown" sheetId="21" r:id="rId7"/>
    <sheet name="Cobalt - List" sheetId="10" r:id="rId8"/>
    <sheet name="Cobalt - Hyd - Breakdown" sheetId="17" r:id="rId9"/>
    <sheet name="Cobalt - Con - Breakdown" sheetId="15" r:id="rId10"/>
    <sheet name="Graphite - List" sheetId="14" r:id="rId11"/>
    <sheet name="Graphite - Nat - Breakdown" sheetId="11" r:id="rId12"/>
    <sheet name="Graphite - Syn - Breakdown" sheetId="12" r:id="rId13"/>
  </sheets>
  <externalReferences>
    <externalReference r:id="rId14"/>
  </externalReference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Pal_Workbook_GUID" hidden="1">"BC8FJVVQNXNB6MHWLUZ3E4XZ"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23" l="1"/>
  <c r="E10" i="23"/>
  <c r="D10" i="23"/>
  <c r="C10" i="23"/>
  <c r="B10" i="23"/>
  <c r="C4" i="23" l="1"/>
  <c r="E4" i="23"/>
  <c r="B5" i="23"/>
  <c r="C7" i="23"/>
  <c r="H30" i="23"/>
  <c r="F4" i="12"/>
  <c r="H4" i="12"/>
  <c r="G4" i="12" s="1"/>
  <c r="I4" i="12"/>
  <c r="J4" i="12"/>
  <c r="K4" i="12"/>
  <c r="L4" i="12"/>
  <c r="M4" i="12"/>
  <c r="N4" i="12"/>
  <c r="O4" i="12"/>
  <c r="P4" i="12"/>
  <c r="Q4" i="12"/>
  <c r="R4" i="12"/>
  <c r="H5" i="12"/>
  <c r="G5" i="12"/>
  <c r="I5" i="12"/>
  <c r="J5" i="12"/>
  <c r="K5" i="12"/>
  <c r="L5" i="12"/>
  <c r="M5" i="12"/>
  <c r="N5" i="12"/>
  <c r="O5" i="12"/>
  <c r="P5" i="12"/>
  <c r="Q5" i="12"/>
  <c r="R5" i="12"/>
  <c r="H6" i="12"/>
  <c r="G6" i="12" s="1"/>
  <c r="I6" i="12"/>
  <c r="J6" i="12"/>
  <c r="K6" i="12"/>
  <c r="L6" i="12"/>
  <c r="M6" i="12"/>
  <c r="N6" i="12"/>
  <c r="O6" i="12"/>
  <c r="P6" i="12"/>
  <c r="Q6" i="12"/>
  <c r="R6" i="12"/>
  <c r="H7" i="12"/>
  <c r="G7" i="12" s="1"/>
  <c r="I7" i="12"/>
  <c r="J7" i="12"/>
  <c r="K7" i="12"/>
  <c r="L7" i="12"/>
  <c r="M7" i="12"/>
  <c r="N7" i="12"/>
  <c r="O7" i="12"/>
  <c r="P7" i="12"/>
  <c r="Q7" i="12"/>
  <c r="R7" i="12"/>
  <c r="H8" i="12"/>
  <c r="G8" i="12" s="1"/>
  <c r="I8" i="12"/>
  <c r="J8" i="12"/>
  <c r="K8" i="12"/>
  <c r="L8" i="12"/>
  <c r="M8" i="12"/>
  <c r="N8" i="12"/>
  <c r="O8" i="12"/>
  <c r="P8" i="12"/>
  <c r="Q8" i="12"/>
  <c r="R8" i="12"/>
  <c r="H9" i="12"/>
  <c r="G9" i="12" s="1"/>
  <c r="I9" i="12"/>
  <c r="J9" i="12"/>
  <c r="K9" i="12"/>
  <c r="L9" i="12"/>
  <c r="M9" i="12"/>
  <c r="N9" i="12"/>
  <c r="O9" i="12"/>
  <c r="P9" i="12"/>
  <c r="Q9" i="12"/>
  <c r="R9" i="12"/>
  <c r="H10" i="12"/>
  <c r="G10" i="12" s="1"/>
  <c r="I10" i="12"/>
  <c r="J10" i="12"/>
  <c r="K10" i="12"/>
  <c r="L10" i="12"/>
  <c r="M10" i="12"/>
  <c r="N10" i="12"/>
  <c r="O10" i="12"/>
  <c r="P10" i="12"/>
  <c r="Q10" i="12"/>
  <c r="R10" i="12"/>
  <c r="H11" i="12"/>
  <c r="G11" i="12" s="1"/>
  <c r="I11" i="12"/>
  <c r="J11" i="12"/>
  <c r="K11" i="12"/>
  <c r="L11" i="12"/>
  <c r="M11" i="12"/>
  <c r="N11" i="12"/>
  <c r="O11" i="12"/>
  <c r="P11" i="12"/>
  <c r="Q11" i="12"/>
  <c r="R11" i="12"/>
  <c r="H12" i="12"/>
  <c r="G12" i="12" s="1"/>
  <c r="I12" i="12"/>
  <c r="J12" i="12"/>
  <c r="K12" i="12"/>
  <c r="L12" i="12"/>
  <c r="M12" i="12"/>
  <c r="N12" i="12"/>
  <c r="O12" i="12"/>
  <c r="P12" i="12"/>
  <c r="Q12" i="12"/>
  <c r="R12" i="12"/>
  <c r="H13" i="12"/>
  <c r="G13" i="12" s="1"/>
  <c r="I13" i="12"/>
  <c r="J13" i="12"/>
  <c r="K13" i="12"/>
  <c r="L13" i="12"/>
  <c r="M13" i="12"/>
  <c r="N13" i="12"/>
  <c r="O13" i="12"/>
  <c r="P13" i="12"/>
  <c r="Q13" i="12"/>
  <c r="R13" i="12"/>
  <c r="H14" i="12"/>
  <c r="G14" i="12" s="1"/>
  <c r="I14" i="12"/>
  <c r="J14" i="12"/>
  <c r="K14" i="12"/>
  <c r="L14" i="12"/>
  <c r="M14" i="12"/>
  <c r="N14" i="12"/>
  <c r="O14" i="12"/>
  <c r="P14" i="12"/>
  <c r="Q14" i="12"/>
  <c r="R14" i="12"/>
  <c r="H15" i="12"/>
  <c r="G15" i="12"/>
  <c r="I15" i="12"/>
  <c r="J15" i="12"/>
  <c r="K15" i="12"/>
  <c r="L15" i="12"/>
  <c r="M15" i="12"/>
  <c r="N15" i="12"/>
  <c r="O15" i="12"/>
  <c r="P15" i="12"/>
  <c r="Q15" i="12"/>
  <c r="R15" i="12"/>
  <c r="H16" i="12"/>
  <c r="G16" i="12" s="1"/>
  <c r="I16" i="12"/>
  <c r="J16" i="12"/>
  <c r="K16" i="12"/>
  <c r="L16" i="12"/>
  <c r="M16" i="12"/>
  <c r="N16" i="12"/>
  <c r="O16" i="12"/>
  <c r="P16" i="12"/>
  <c r="Q16" i="12"/>
  <c r="R16" i="12"/>
  <c r="H17" i="12"/>
  <c r="G17" i="12" s="1"/>
  <c r="I17" i="12"/>
  <c r="J17" i="12"/>
  <c r="K17" i="12"/>
  <c r="L17" i="12"/>
  <c r="M17" i="12"/>
  <c r="N17" i="12"/>
  <c r="O17" i="12"/>
  <c r="P17" i="12"/>
  <c r="Q17" i="12"/>
  <c r="R17" i="12"/>
  <c r="I3" i="12"/>
  <c r="J3" i="12"/>
  <c r="K3" i="12"/>
  <c r="L3" i="12"/>
  <c r="M3" i="12"/>
  <c r="N3" i="12"/>
  <c r="O3" i="12"/>
  <c r="P3" i="12"/>
  <c r="Q3" i="12"/>
  <c r="R3" i="12"/>
  <c r="H4" i="11"/>
  <c r="G4" i="11" s="1"/>
  <c r="I4" i="11"/>
  <c r="J4" i="11"/>
  <c r="K4" i="11"/>
  <c r="L4" i="11"/>
  <c r="M4" i="11"/>
  <c r="N4" i="11"/>
  <c r="O4" i="11"/>
  <c r="P4" i="11"/>
  <c r="Q4" i="11"/>
  <c r="R4" i="11"/>
  <c r="H5" i="11"/>
  <c r="G5" i="11" s="1"/>
  <c r="I5" i="11"/>
  <c r="J5" i="11"/>
  <c r="K5" i="11"/>
  <c r="L5" i="11"/>
  <c r="M5" i="11"/>
  <c r="N5" i="11"/>
  <c r="O5" i="11"/>
  <c r="P5" i="11"/>
  <c r="Q5" i="11"/>
  <c r="R5" i="11"/>
  <c r="H6" i="11"/>
  <c r="G6" i="11" s="1"/>
  <c r="I6" i="11"/>
  <c r="J6" i="11"/>
  <c r="K6" i="11"/>
  <c r="L6" i="11"/>
  <c r="M6" i="11"/>
  <c r="N6" i="11"/>
  <c r="O6" i="11"/>
  <c r="P6" i="11"/>
  <c r="Q6" i="11"/>
  <c r="R6" i="11"/>
  <c r="H7" i="11"/>
  <c r="G7" i="11" s="1"/>
  <c r="I7" i="11"/>
  <c r="J7" i="11"/>
  <c r="K7" i="11"/>
  <c r="L7" i="11"/>
  <c r="M7" i="11"/>
  <c r="N7" i="11"/>
  <c r="O7" i="11"/>
  <c r="P7" i="11"/>
  <c r="Q7" i="11"/>
  <c r="R7" i="11"/>
  <c r="H8" i="11"/>
  <c r="G8" i="11" s="1"/>
  <c r="I8" i="11"/>
  <c r="J8" i="11"/>
  <c r="K8" i="11"/>
  <c r="L8" i="11"/>
  <c r="M8" i="11"/>
  <c r="N8" i="11"/>
  <c r="O8" i="11"/>
  <c r="P8" i="11"/>
  <c r="Q8" i="11"/>
  <c r="R8" i="11"/>
  <c r="H9" i="11"/>
  <c r="G9" i="11" s="1"/>
  <c r="I9" i="11"/>
  <c r="J9" i="11"/>
  <c r="K9" i="11"/>
  <c r="L9" i="11"/>
  <c r="M9" i="11"/>
  <c r="N9" i="11"/>
  <c r="O9" i="11"/>
  <c r="P9" i="11"/>
  <c r="Q9" i="11"/>
  <c r="R9" i="11"/>
  <c r="H10" i="11"/>
  <c r="G10" i="11"/>
  <c r="I10" i="11"/>
  <c r="J10" i="11"/>
  <c r="K10" i="11"/>
  <c r="L10" i="11"/>
  <c r="M10" i="11"/>
  <c r="N10" i="11"/>
  <c r="O10" i="11"/>
  <c r="P10" i="11"/>
  <c r="Q10" i="11"/>
  <c r="R10" i="11"/>
  <c r="H11" i="11"/>
  <c r="G11" i="11" s="1"/>
  <c r="I11" i="11"/>
  <c r="J11" i="11"/>
  <c r="K11" i="11"/>
  <c r="L11" i="11"/>
  <c r="M11" i="11"/>
  <c r="N11" i="11"/>
  <c r="O11" i="11"/>
  <c r="P11" i="11"/>
  <c r="Q11" i="11"/>
  <c r="R11" i="11"/>
  <c r="H12" i="11"/>
  <c r="G12" i="11" s="1"/>
  <c r="I12" i="11"/>
  <c r="J12" i="11"/>
  <c r="K12" i="11"/>
  <c r="L12" i="11"/>
  <c r="M12" i="11"/>
  <c r="N12" i="11"/>
  <c r="O12" i="11"/>
  <c r="P12" i="11"/>
  <c r="Q12" i="11"/>
  <c r="R12" i="11"/>
  <c r="H13" i="11"/>
  <c r="G13" i="11" s="1"/>
  <c r="I13" i="11"/>
  <c r="J13" i="11"/>
  <c r="K13" i="11"/>
  <c r="L13" i="11"/>
  <c r="M13" i="11"/>
  <c r="N13" i="11"/>
  <c r="O13" i="11"/>
  <c r="P13" i="11"/>
  <c r="Q13" i="11"/>
  <c r="R13" i="11"/>
  <c r="H14" i="11"/>
  <c r="G14" i="11" s="1"/>
  <c r="I14" i="11"/>
  <c r="J14" i="11"/>
  <c r="K14" i="11"/>
  <c r="L14" i="11"/>
  <c r="M14" i="11"/>
  <c r="N14" i="11"/>
  <c r="O14" i="11"/>
  <c r="P14" i="11"/>
  <c r="Q14" i="11"/>
  <c r="R14" i="11"/>
  <c r="H15" i="11"/>
  <c r="G15" i="11" s="1"/>
  <c r="I15" i="11"/>
  <c r="J15" i="11"/>
  <c r="K15" i="11"/>
  <c r="L15" i="11"/>
  <c r="M15" i="11"/>
  <c r="N15" i="11"/>
  <c r="O15" i="11"/>
  <c r="P15" i="11"/>
  <c r="Q15" i="11"/>
  <c r="R15" i="11"/>
  <c r="H16" i="11"/>
  <c r="G16" i="11" s="1"/>
  <c r="I16" i="11"/>
  <c r="J16" i="11"/>
  <c r="K16" i="11"/>
  <c r="L16" i="11"/>
  <c r="M16" i="11"/>
  <c r="N16" i="11"/>
  <c r="O16" i="11"/>
  <c r="P16" i="11"/>
  <c r="Q16" i="11"/>
  <c r="R16" i="11"/>
  <c r="H17" i="11"/>
  <c r="G17" i="11" s="1"/>
  <c r="I17" i="11"/>
  <c r="J17" i="11"/>
  <c r="K17" i="11"/>
  <c r="L17" i="11"/>
  <c r="M17" i="11"/>
  <c r="N17" i="11"/>
  <c r="O17" i="11"/>
  <c r="P17" i="11"/>
  <c r="Q17" i="11"/>
  <c r="R17" i="11"/>
  <c r="I3" i="11"/>
  <c r="J3" i="11"/>
  <c r="K3" i="11"/>
  <c r="L3" i="11"/>
  <c r="M3" i="11"/>
  <c r="N3" i="11"/>
  <c r="O3" i="11"/>
  <c r="P3" i="11"/>
  <c r="Q3" i="11"/>
  <c r="R3" i="11"/>
  <c r="E4" i="14"/>
  <c r="D4" i="14" s="1"/>
  <c r="F4" i="14"/>
  <c r="G4" i="14"/>
  <c r="H4" i="14"/>
  <c r="I4" i="14"/>
  <c r="J4" i="14"/>
  <c r="K4" i="14"/>
  <c r="L4" i="14"/>
  <c r="M4" i="14"/>
  <c r="N4" i="14"/>
  <c r="O4" i="14"/>
  <c r="E5" i="14"/>
  <c r="D5" i="14"/>
  <c r="F5" i="14"/>
  <c r="G5" i="14"/>
  <c r="H5" i="14"/>
  <c r="I5" i="14"/>
  <c r="J5" i="14"/>
  <c r="K5" i="14"/>
  <c r="L5" i="14"/>
  <c r="M5" i="14"/>
  <c r="N5" i="14"/>
  <c r="O5" i="14"/>
  <c r="E6" i="14"/>
  <c r="D6" i="14" s="1"/>
  <c r="F6" i="14"/>
  <c r="G6" i="14"/>
  <c r="H6" i="14"/>
  <c r="I6" i="14"/>
  <c r="J6" i="14"/>
  <c r="K6" i="14"/>
  <c r="L6" i="14"/>
  <c r="M6" i="14"/>
  <c r="N6" i="14"/>
  <c r="O6" i="14"/>
  <c r="E7" i="14"/>
  <c r="D7" i="14" s="1"/>
  <c r="F7" i="14"/>
  <c r="G7" i="14"/>
  <c r="H7" i="14"/>
  <c r="I7" i="14"/>
  <c r="J7" i="14"/>
  <c r="K7" i="14"/>
  <c r="L7" i="14"/>
  <c r="M7" i="14"/>
  <c r="N7" i="14"/>
  <c r="O7" i="14"/>
  <c r="E8" i="14"/>
  <c r="D8" i="14" s="1"/>
  <c r="F8" i="14"/>
  <c r="G8" i="14"/>
  <c r="H8" i="14"/>
  <c r="I8" i="14"/>
  <c r="J8" i="14"/>
  <c r="K8" i="14"/>
  <c r="L8" i="14"/>
  <c r="M8" i="14"/>
  <c r="N8" i="14"/>
  <c r="O8" i="14"/>
  <c r="E9" i="14"/>
  <c r="D9" i="14" s="1"/>
  <c r="F9" i="14"/>
  <c r="G9" i="14"/>
  <c r="H9" i="14"/>
  <c r="I9" i="14"/>
  <c r="J9" i="14"/>
  <c r="K9" i="14"/>
  <c r="L9" i="14"/>
  <c r="M9" i="14"/>
  <c r="N9" i="14"/>
  <c r="O9" i="14"/>
  <c r="E10" i="14"/>
  <c r="D10" i="14" s="1"/>
  <c r="F10" i="14"/>
  <c r="G10" i="14"/>
  <c r="H10" i="14"/>
  <c r="I10" i="14"/>
  <c r="J10" i="14"/>
  <c r="K10" i="14"/>
  <c r="L10" i="14"/>
  <c r="M10" i="14"/>
  <c r="N10" i="14"/>
  <c r="O10" i="14"/>
  <c r="E11" i="14"/>
  <c r="D11" i="14" s="1"/>
  <c r="F11" i="14"/>
  <c r="G11" i="14"/>
  <c r="H11" i="14"/>
  <c r="I11" i="14"/>
  <c r="J11" i="14"/>
  <c r="K11" i="14"/>
  <c r="L11" i="14"/>
  <c r="M11" i="14"/>
  <c r="N11" i="14"/>
  <c r="O11" i="14"/>
  <c r="E12" i="14"/>
  <c r="D12" i="14" s="1"/>
  <c r="F12" i="14"/>
  <c r="G12" i="14"/>
  <c r="H12" i="14"/>
  <c r="I12" i="14"/>
  <c r="J12" i="14"/>
  <c r="K12" i="14"/>
  <c r="L12" i="14"/>
  <c r="M12" i="14"/>
  <c r="N12" i="14"/>
  <c r="O12" i="14"/>
  <c r="E13" i="14"/>
  <c r="D13" i="14" s="1"/>
  <c r="F13" i="14"/>
  <c r="G13" i="14"/>
  <c r="H13" i="14"/>
  <c r="I13" i="14"/>
  <c r="J13" i="14"/>
  <c r="K13" i="14"/>
  <c r="L13" i="14"/>
  <c r="M13" i="14"/>
  <c r="N13" i="14"/>
  <c r="O13" i="14"/>
  <c r="E14" i="14"/>
  <c r="D14" i="14" s="1"/>
  <c r="F14" i="14"/>
  <c r="G14" i="14"/>
  <c r="H14" i="14"/>
  <c r="I14" i="14"/>
  <c r="J14" i="14"/>
  <c r="K14" i="14"/>
  <c r="L14" i="14"/>
  <c r="M14" i="14"/>
  <c r="N14" i="14"/>
  <c r="O14" i="14"/>
  <c r="E15" i="14"/>
  <c r="D15" i="14" s="1"/>
  <c r="F15" i="14"/>
  <c r="G15" i="14"/>
  <c r="H15" i="14"/>
  <c r="I15" i="14"/>
  <c r="J15" i="14"/>
  <c r="K15" i="14"/>
  <c r="L15" i="14"/>
  <c r="M15" i="14"/>
  <c r="N15" i="14"/>
  <c r="O15" i="14"/>
  <c r="E16" i="14"/>
  <c r="D16" i="14" s="1"/>
  <c r="F16" i="14"/>
  <c r="G16" i="14"/>
  <c r="H16" i="14"/>
  <c r="I16" i="14"/>
  <c r="J16" i="14"/>
  <c r="K16" i="14"/>
  <c r="L16" i="14"/>
  <c r="M16" i="14"/>
  <c r="N16" i="14"/>
  <c r="O16" i="14"/>
  <c r="E17" i="14"/>
  <c r="D17" i="14" s="1"/>
  <c r="F17" i="14"/>
  <c r="G17" i="14"/>
  <c r="H17" i="14"/>
  <c r="I17" i="14"/>
  <c r="J17" i="14"/>
  <c r="K17" i="14"/>
  <c r="L17" i="14"/>
  <c r="M17" i="14"/>
  <c r="N17" i="14"/>
  <c r="O17" i="14"/>
  <c r="E18" i="14"/>
  <c r="D18" i="14" s="1"/>
  <c r="F18" i="14"/>
  <c r="G18" i="14"/>
  <c r="H18" i="14"/>
  <c r="I18" i="14"/>
  <c r="J18" i="14"/>
  <c r="K18" i="14"/>
  <c r="L18" i="14"/>
  <c r="M18" i="14"/>
  <c r="N18" i="14"/>
  <c r="O18" i="14"/>
  <c r="E19" i="14"/>
  <c r="D19" i="14"/>
  <c r="F19" i="14"/>
  <c r="G19" i="14"/>
  <c r="H19" i="14"/>
  <c r="I19" i="14"/>
  <c r="J19" i="14"/>
  <c r="K19" i="14"/>
  <c r="L19" i="14"/>
  <c r="M19" i="14"/>
  <c r="N19" i="14"/>
  <c r="O19" i="14"/>
  <c r="E20" i="14"/>
  <c r="D20" i="14" s="1"/>
  <c r="F20" i="14"/>
  <c r="G20" i="14"/>
  <c r="H20" i="14"/>
  <c r="I20" i="14"/>
  <c r="J20" i="14"/>
  <c r="K20" i="14"/>
  <c r="L20" i="14"/>
  <c r="M20" i="14"/>
  <c r="N20" i="14"/>
  <c r="O20" i="14"/>
  <c r="E21" i="14"/>
  <c r="D21" i="14" s="1"/>
  <c r="F21" i="14"/>
  <c r="G21" i="14"/>
  <c r="H21" i="14"/>
  <c r="I21" i="14"/>
  <c r="J21" i="14"/>
  <c r="K21" i="14"/>
  <c r="L21" i="14"/>
  <c r="M21" i="14"/>
  <c r="N21" i="14"/>
  <c r="O21" i="14"/>
  <c r="E22" i="14"/>
  <c r="D22" i="14" s="1"/>
  <c r="F22" i="14"/>
  <c r="G22" i="14"/>
  <c r="H22" i="14"/>
  <c r="I22" i="14"/>
  <c r="J22" i="14"/>
  <c r="K22" i="14"/>
  <c r="L22" i="14"/>
  <c r="M22" i="14"/>
  <c r="N22" i="14"/>
  <c r="O22" i="14"/>
  <c r="E23" i="14"/>
  <c r="D23" i="14" s="1"/>
  <c r="F23" i="14"/>
  <c r="G23" i="14"/>
  <c r="H23" i="14"/>
  <c r="I23" i="14"/>
  <c r="J23" i="14"/>
  <c r="K23" i="14"/>
  <c r="L23" i="14"/>
  <c r="M23" i="14"/>
  <c r="N23" i="14"/>
  <c r="O23" i="14"/>
  <c r="F3" i="14"/>
  <c r="G3" i="14"/>
  <c r="H3" i="14"/>
  <c r="I3" i="14"/>
  <c r="J3" i="14"/>
  <c r="K3" i="14"/>
  <c r="L3" i="14"/>
  <c r="M3" i="14"/>
  <c r="N3" i="14"/>
  <c r="O3" i="14"/>
  <c r="U50" i="26"/>
  <c r="T50" i="26"/>
  <c r="S50" i="26"/>
  <c r="R50" i="26"/>
  <c r="Q50" i="26"/>
  <c r="P50" i="26"/>
  <c r="O50" i="26"/>
  <c r="N50" i="26"/>
  <c r="M50" i="26"/>
  <c r="L50" i="26"/>
  <c r="K50" i="26"/>
  <c r="J50" i="26"/>
  <c r="I50" i="26"/>
  <c r="H50" i="26"/>
  <c r="U49" i="26"/>
  <c r="T49" i="26"/>
  <c r="S49" i="26"/>
  <c r="R49" i="26"/>
  <c r="Q49" i="26"/>
  <c r="P49" i="26"/>
  <c r="O49" i="26"/>
  <c r="N49" i="26"/>
  <c r="M49" i="26"/>
  <c r="L49" i="26"/>
  <c r="K49" i="26"/>
  <c r="J49" i="26"/>
  <c r="I49" i="26"/>
  <c r="H49" i="26"/>
  <c r="U48" i="26"/>
  <c r="T48" i="26"/>
  <c r="S48" i="26"/>
  <c r="R48" i="26"/>
  <c r="Q48" i="26"/>
  <c r="P48" i="26"/>
  <c r="O48" i="26"/>
  <c r="N48" i="26"/>
  <c r="M48" i="26"/>
  <c r="L48" i="26"/>
  <c r="K48" i="26"/>
  <c r="J48" i="26"/>
  <c r="I48" i="26"/>
  <c r="H48" i="26"/>
  <c r="G48" i="26" s="1"/>
  <c r="U47" i="26"/>
  <c r="T47" i="26"/>
  <c r="S47" i="26"/>
  <c r="R47" i="26"/>
  <c r="Q47" i="26"/>
  <c r="P47" i="26"/>
  <c r="O47" i="26"/>
  <c r="N47" i="26"/>
  <c r="M47" i="26"/>
  <c r="L47" i="26"/>
  <c r="K47" i="26"/>
  <c r="J47" i="26"/>
  <c r="I47" i="26"/>
  <c r="H47" i="26"/>
  <c r="G47" i="26" s="1"/>
  <c r="U46" i="26"/>
  <c r="T46" i="26"/>
  <c r="S46" i="26"/>
  <c r="R46" i="26"/>
  <c r="Q46" i="26"/>
  <c r="P46" i="26"/>
  <c r="O46" i="26"/>
  <c r="N46" i="26"/>
  <c r="M46" i="26"/>
  <c r="L46" i="26"/>
  <c r="K46" i="26"/>
  <c r="J46" i="26"/>
  <c r="I46" i="26"/>
  <c r="H46" i="26"/>
  <c r="G46" i="26" s="1"/>
  <c r="U45" i="26"/>
  <c r="T45" i="26"/>
  <c r="S45" i="26"/>
  <c r="R45" i="26"/>
  <c r="Q45" i="26"/>
  <c r="P45" i="26"/>
  <c r="O45" i="26"/>
  <c r="N45" i="26"/>
  <c r="M45" i="26"/>
  <c r="L45" i="26"/>
  <c r="K45" i="26"/>
  <c r="J45" i="26"/>
  <c r="I45" i="26"/>
  <c r="H45" i="26"/>
  <c r="G45" i="26" s="1"/>
  <c r="U44" i="26"/>
  <c r="T44" i="26"/>
  <c r="S44" i="26"/>
  <c r="R44" i="26"/>
  <c r="Q44" i="26"/>
  <c r="P44" i="26"/>
  <c r="O44" i="26"/>
  <c r="N44" i="26"/>
  <c r="M44" i="26"/>
  <c r="L44" i="26"/>
  <c r="K44" i="26"/>
  <c r="J44" i="26"/>
  <c r="I44" i="26"/>
  <c r="H44" i="26"/>
  <c r="G44" i="26" s="1"/>
  <c r="U43" i="26"/>
  <c r="T43" i="26"/>
  <c r="S43" i="26"/>
  <c r="R43" i="26"/>
  <c r="Q43" i="26"/>
  <c r="P43" i="26"/>
  <c r="O43" i="26"/>
  <c r="N43" i="26"/>
  <c r="M43" i="26"/>
  <c r="L43" i="26"/>
  <c r="K43" i="26"/>
  <c r="J43" i="26"/>
  <c r="I43" i="26"/>
  <c r="H43" i="26"/>
  <c r="G43" i="26" s="1"/>
  <c r="U42" i="26"/>
  <c r="T42" i="26"/>
  <c r="S42" i="26"/>
  <c r="R42" i="26"/>
  <c r="Q42" i="26"/>
  <c r="P42" i="26"/>
  <c r="O42" i="26"/>
  <c r="N42" i="26"/>
  <c r="M42" i="26"/>
  <c r="L42" i="26"/>
  <c r="K42" i="26"/>
  <c r="J42" i="26"/>
  <c r="I42" i="26"/>
  <c r="H42" i="26"/>
  <c r="G42" i="26" s="1"/>
  <c r="U41" i="26"/>
  <c r="T41" i="26"/>
  <c r="S41" i="26"/>
  <c r="R41" i="26"/>
  <c r="Q41" i="26"/>
  <c r="P41" i="26"/>
  <c r="O41" i="26"/>
  <c r="N41" i="26"/>
  <c r="M41" i="26"/>
  <c r="L41" i="26"/>
  <c r="K41" i="26"/>
  <c r="J41" i="26"/>
  <c r="I41" i="26"/>
  <c r="H41" i="26"/>
  <c r="G41" i="26" s="1"/>
  <c r="U40" i="26"/>
  <c r="T40" i="26"/>
  <c r="S40" i="26"/>
  <c r="R40" i="26"/>
  <c r="Q40" i="26"/>
  <c r="P40" i="26"/>
  <c r="O40" i="26"/>
  <c r="N40" i="26"/>
  <c r="M40" i="26"/>
  <c r="L40" i="26"/>
  <c r="K40" i="26"/>
  <c r="J40" i="26"/>
  <c r="I40" i="26"/>
  <c r="H40" i="26"/>
  <c r="G40" i="26" s="1"/>
  <c r="U39" i="26"/>
  <c r="T39" i="26"/>
  <c r="S39" i="26"/>
  <c r="R39" i="26"/>
  <c r="Q39" i="26"/>
  <c r="P39" i="26"/>
  <c r="O39" i="26"/>
  <c r="N39" i="26"/>
  <c r="M39" i="26"/>
  <c r="L39" i="26"/>
  <c r="K39" i="26"/>
  <c r="J39" i="26"/>
  <c r="I39" i="26"/>
  <c r="H39" i="26"/>
  <c r="G39" i="26" s="1"/>
  <c r="U38" i="26"/>
  <c r="T38" i="26"/>
  <c r="S38" i="26"/>
  <c r="R38" i="26"/>
  <c r="Q38" i="26"/>
  <c r="P38" i="26"/>
  <c r="O38" i="26"/>
  <c r="N38" i="26"/>
  <c r="M38" i="26"/>
  <c r="L38" i="26"/>
  <c r="K38" i="26"/>
  <c r="J38" i="26"/>
  <c r="I38" i="26"/>
  <c r="H38" i="26"/>
  <c r="G38" i="26" s="1"/>
  <c r="U37" i="26"/>
  <c r="T37" i="26"/>
  <c r="S37" i="26"/>
  <c r="R37" i="26"/>
  <c r="Q37" i="26"/>
  <c r="P37" i="26"/>
  <c r="O37" i="26"/>
  <c r="N37" i="26"/>
  <c r="M37" i="26"/>
  <c r="L37" i="26"/>
  <c r="K37" i="26"/>
  <c r="J37" i="26"/>
  <c r="I37" i="26"/>
  <c r="H37" i="26"/>
  <c r="G37" i="26" s="1"/>
  <c r="U36" i="26"/>
  <c r="T36" i="26"/>
  <c r="S36" i="26"/>
  <c r="R36" i="26"/>
  <c r="Q36" i="26"/>
  <c r="P36" i="26"/>
  <c r="O36" i="26"/>
  <c r="N36" i="26"/>
  <c r="M36" i="26"/>
  <c r="L36" i="26"/>
  <c r="K36" i="26"/>
  <c r="J36" i="26"/>
  <c r="I36" i="26"/>
  <c r="H36" i="26"/>
  <c r="G36" i="26" s="1"/>
  <c r="U35" i="26"/>
  <c r="T35" i="26"/>
  <c r="S35" i="26"/>
  <c r="R35" i="26"/>
  <c r="Q35" i="26"/>
  <c r="P35" i="26"/>
  <c r="O35" i="26"/>
  <c r="N35" i="26"/>
  <c r="M35" i="26"/>
  <c r="L35" i="26"/>
  <c r="K35" i="26"/>
  <c r="J35" i="26"/>
  <c r="I35" i="26"/>
  <c r="H35" i="26"/>
  <c r="G35" i="26" s="1"/>
  <c r="U34" i="26"/>
  <c r="T34" i="26"/>
  <c r="S34" i="26"/>
  <c r="R34" i="26"/>
  <c r="Q34" i="26"/>
  <c r="P34" i="26"/>
  <c r="O34" i="26"/>
  <c r="N34" i="26"/>
  <c r="M34" i="26"/>
  <c r="L34" i="26"/>
  <c r="K34" i="26"/>
  <c r="J34" i="26"/>
  <c r="I34" i="26"/>
  <c r="H34" i="26"/>
  <c r="G34" i="26" s="1"/>
  <c r="U33" i="26"/>
  <c r="T33" i="26"/>
  <c r="S33" i="26"/>
  <c r="R33" i="26"/>
  <c r="Q33" i="26"/>
  <c r="P33" i="26"/>
  <c r="O33" i="26"/>
  <c r="N33" i="26"/>
  <c r="M33" i="26"/>
  <c r="L33" i="26"/>
  <c r="K33" i="26"/>
  <c r="J33" i="26"/>
  <c r="I33" i="26"/>
  <c r="H33" i="26"/>
  <c r="G33" i="26" s="1"/>
  <c r="U32" i="26"/>
  <c r="T32" i="26"/>
  <c r="S32" i="26"/>
  <c r="R32" i="26"/>
  <c r="Q32" i="26"/>
  <c r="P32" i="26"/>
  <c r="O32" i="26"/>
  <c r="N32" i="26"/>
  <c r="M32" i="26"/>
  <c r="L32" i="26"/>
  <c r="K32" i="26"/>
  <c r="J32" i="26"/>
  <c r="I32" i="26"/>
  <c r="H32" i="26"/>
  <c r="G32" i="26" s="1"/>
  <c r="U31" i="26"/>
  <c r="T31" i="26"/>
  <c r="S31" i="26"/>
  <c r="R31" i="26"/>
  <c r="Q31" i="26"/>
  <c r="P31" i="26"/>
  <c r="O31" i="26"/>
  <c r="N31" i="26"/>
  <c r="M31" i="26"/>
  <c r="L31" i="26"/>
  <c r="K31" i="26"/>
  <c r="J31" i="26"/>
  <c r="I31" i="26"/>
  <c r="H31" i="26"/>
  <c r="G31" i="26" s="1"/>
  <c r="U30" i="26"/>
  <c r="T30" i="26"/>
  <c r="S30" i="26"/>
  <c r="R30" i="26"/>
  <c r="Q30" i="26"/>
  <c r="P30" i="26"/>
  <c r="O30" i="26"/>
  <c r="N30" i="26"/>
  <c r="M30" i="26"/>
  <c r="L30" i="26"/>
  <c r="K30" i="26"/>
  <c r="J30" i="26"/>
  <c r="I30" i="26"/>
  <c r="H30" i="26"/>
  <c r="G30" i="26" s="1"/>
  <c r="U29" i="26"/>
  <c r="T29" i="26"/>
  <c r="S29" i="26"/>
  <c r="R29" i="26"/>
  <c r="Q29" i="26"/>
  <c r="P29" i="26"/>
  <c r="O29" i="26"/>
  <c r="N29" i="26"/>
  <c r="M29" i="26"/>
  <c r="L29" i="26"/>
  <c r="K29" i="26"/>
  <c r="J29" i="26"/>
  <c r="I29" i="26"/>
  <c r="H29" i="26"/>
  <c r="G29" i="26" s="1"/>
  <c r="U28" i="26"/>
  <c r="T28" i="26"/>
  <c r="S28" i="26"/>
  <c r="R28" i="26"/>
  <c r="Q28" i="26"/>
  <c r="P28" i="26"/>
  <c r="O28" i="26"/>
  <c r="N28" i="26"/>
  <c r="M28" i="26"/>
  <c r="L28" i="26"/>
  <c r="K28" i="26"/>
  <c r="J28" i="26"/>
  <c r="I28" i="26"/>
  <c r="H28" i="26"/>
  <c r="F4" i="26"/>
  <c r="F3" i="26"/>
  <c r="F4" i="24"/>
  <c r="F7" i="24"/>
  <c r="E23" i="22"/>
  <c r="D23" i="22" s="1"/>
  <c r="F23" i="22"/>
  <c r="G23" i="22"/>
  <c r="H23" i="22"/>
  <c r="I23" i="22"/>
  <c r="J23" i="22"/>
  <c r="K23" i="22"/>
  <c r="L23" i="22"/>
  <c r="M23" i="22"/>
  <c r="N23" i="22"/>
  <c r="O23" i="22"/>
  <c r="P23" i="22"/>
  <c r="Q23" i="22"/>
  <c r="R23" i="22"/>
  <c r="E24" i="22"/>
  <c r="D24" i="22" s="1"/>
  <c r="F24" i="22"/>
  <c r="G24" i="22"/>
  <c r="H24" i="22"/>
  <c r="I24" i="22"/>
  <c r="J24" i="22"/>
  <c r="K24" i="22"/>
  <c r="L24" i="22"/>
  <c r="M24" i="22"/>
  <c r="N24" i="22"/>
  <c r="O24" i="22"/>
  <c r="P24" i="22"/>
  <c r="Q24" i="22"/>
  <c r="R24" i="22"/>
  <c r="H49" i="24"/>
  <c r="I49" i="24"/>
  <c r="J49" i="24"/>
  <c r="K49" i="24"/>
  <c r="L49" i="24"/>
  <c r="M49" i="24"/>
  <c r="N49" i="24"/>
  <c r="O49" i="24"/>
  <c r="P49" i="24"/>
  <c r="Q49" i="24"/>
  <c r="R49" i="24"/>
  <c r="S49" i="24"/>
  <c r="T49" i="24"/>
  <c r="U49" i="24"/>
  <c r="H50" i="24"/>
  <c r="I50" i="24"/>
  <c r="J50" i="24"/>
  <c r="K50" i="24"/>
  <c r="L50" i="24"/>
  <c r="M50" i="24"/>
  <c r="N50" i="24"/>
  <c r="O50" i="24"/>
  <c r="P50" i="24"/>
  <c r="Q50" i="24"/>
  <c r="R50" i="24"/>
  <c r="S50" i="24"/>
  <c r="T50" i="24"/>
  <c r="U50" i="24"/>
  <c r="O49" i="23"/>
  <c r="N49" i="23" s="1"/>
  <c r="P49" i="23"/>
  <c r="Q49" i="23"/>
  <c r="R49" i="23"/>
  <c r="S49" i="23"/>
  <c r="T49" i="23"/>
  <c r="U49" i="23"/>
  <c r="V49" i="23"/>
  <c r="W49" i="23"/>
  <c r="X49" i="23"/>
  <c r="Y49" i="23"/>
  <c r="Z49" i="23"/>
  <c r="AA49" i="23"/>
  <c r="AB49" i="23"/>
  <c r="O50" i="23"/>
  <c r="N50" i="23" s="1"/>
  <c r="P50" i="23"/>
  <c r="Q50" i="23"/>
  <c r="R50" i="23"/>
  <c r="S50" i="23"/>
  <c r="T50" i="23"/>
  <c r="U50" i="23"/>
  <c r="V50" i="23"/>
  <c r="W50" i="23"/>
  <c r="X50" i="23"/>
  <c r="Y50" i="23"/>
  <c r="Z50" i="23"/>
  <c r="AA50" i="23"/>
  <c r="AB50" i="23"/>
  <c r="F6" i="24"/>
  <c r="F5" i="24"/>
  <c r="F3" i="24"/>
  <c r="U48" i="24"/>
  <c r="T48" i="24"/>
  <c r="S48" i="24"/>
  <c r="R48" i="24"/>
  <c r="Q48" i="24"/>
  <c r="P48" i="24"/>
  <c r="O48" i="24"/>
  <c r="N48" i="24"/>
  <c r="M48" i="24"/>
  <c r="L48" i="24"/>
  <c r="K48" i="24"/>
  <c r="J48" i="24"/>
  <c r="I48" i="24"/>
  <c r="H48" i="24"/>
  <c r="G48" i="24" s="1"/>
  <c r="U47" i="24"/>
  <c r="T47" i="24"/>
  <c r="S47" i="24"/>
  <c r="R47" i="24"/>
  <c r="Q47" i="24"/>
  <c r="P47" i="24"/>
  <c r="O47" i="24"/>
  <c r="N47" i="24"/>
  <c r="M47" i="24"/>
  <c r="L47" i="24"/>
  <c r="K47" i="24"/>
  <c r="J47" i="24"/>
  <c r="I47" i="24"/>
  <c r="H47" i="24"/>
  <c r="G47" i="24" s="1"/>
  <c r="U46" i="24"/>
  <c r="T46" i="24"/>
  <c r="S46" i="24"/>
  <c r="R46" i="24"/>
  <c r="Q46" i="24"/>
  <c r="P46" i="24"/>
  <c r="O46" i="24"/>
  <c r="N46" i="24"/>
  <c r="M46" i="24"/>
  <c r="L46" i="24"/>
  <c r="K46" i="24"/>
  <c r="J46" i="24"/>
  <c r="I46" i="24"/>
  <c r="H46" i="24"/>
  <c r="G46" i="24" s="1"/>
  <c r="U45" i="24"/>
  <c r="T45" i="24"/>
  <c r="S45" i="24"/>
  <c r="R45" i="24"/>
  <c r="Q45" i="24"/>
  <c r="P45" i="24"/>
  <c r="O45" i="24"/>
  <c r="N45" i="24"/>
  <c r="M45" i="24"/>
  <c r="L45" i="24"/>
  <c r="K45" i="24"/>
  <c r="J45" i="24"/>
  <c r="I45" i="24"/>
  <c r="H45" i="24"/>
  <c r="G45" i="24" s="1"/>
  <c r="U44" i="24"/>
  <c r="T44" i="24"/>
  <c r="S44" i="24"/>
  <c r="R44" i="24"/>
  <c r="Q44" i="24"/>
  <c r="P44" i="24"/>
  <c r="O44" i="24"/>
  <c r="N44" i="24"/>
  <c r="M44" i="24"/>
  <c r="L44" i="24"/>
  <c r="K44" i="24"/>
  <c r="J44" i="24"/>
  <c r="I44" i="24"/>
  <c r="H44" i="24"/>
  <c r="G44" i="24" s="1"/>
  <c r="U43" i="24"/>
  <c r="T43" i="24"/>
  <c r="S43" i="24"/>
  <c r="R43" i="24"/>
  <c r="Q43" i="24"/>
  <c r="P43" i="24"/>
  <c r="O43" i="24"/>
  <c r="N43" i="24"/>
  <c r="M43" i="24"/>
  <c r="L43" i="24"/>
  <c r="K43" i="24"/>
  <c r="J43" i="24"/>
  <c r="I43" i="24"/>
  <c r="H43" i="24"/>
  <c r="G43" i="24" s="1"/>
  <c r="U42" i="24"/>
  <c r="T42" i="24"/>
  <c r="S42" i="24"/>
  <c r="R42" i="24"/>
  <c r="Q42" i="24"/>
  <c r="P42" i="24"/>
  <c r="O42" i="24"/>
  <c r="N42" i="24"/>
  <c r="M42" i="24"/>
  <c r="L42" i="24"/>
  <c r="K42" i="24"/>
  <c r="J42" i="24"/>
  <c r="I42" i="24"/>
  <c r="H42" i="24"/>
  <c r="G42" i="24" s="1"/>
  <c r="U41" i="24"/>
  <c r="T41" i="24"/>
  <c r="S41" i="24"/>
  <c r="R41" i="24"/>
  <c r="Q41" i="24"/>
  <c r="P41" i="24"/>
  <c r="O41" i="24"/>
  <c r="N41" i="24"/>
  <c r="M41" i="24"/>
  <c r="L41" i="24"/>
  <c r="K41" i="24"/>
  <c r="J41" i="24"/>
  <c r="I41" i="24"/>
  <c r="H41" i="24"/>
  <c r="G41" i="24" s="1"/>
  <c r="U40" i="24"/>
  <c r="T40" i="24"/>
  <c r="S40" i="24"/>
  <c r="R40" i="24"/>
  <c r="Q40" i="24"/>
  <c r="P40" i="24"/>
  <c r="O40" i="24"/>
  <c r="N40" i="24"/>
  <c r="M40" i="24"/>
  <c r="L40" i="24"/>
  <c r="K40" i="24"/>
  <c r="J40" i="24"/>
  <c r="I40" i="24"/>
  <c r="H40" i="24"/>
  <c r="G40" i="24" s="1"/>
  <c r="U39" i="24"/>
  <c r="T39" i="24"/>
  <c r="S39" i="24"/>
  <c r="R39" i="24"/>
  <c r="Q39" i="24"/>
  <c r="P39" i="24"/>
  <c r="O39" i="24"/>
  <c r="N39" i="24"/>
  <c r="M39" i="24"/>
  <c r="L39" i="24"/>
  <c r="K39" i="24"/>
  <c r="J39" i="24"/>
  <c r="I39" i="24"/>
  <c r="H39" i="24"/>
  <c r="G39" i="24" s="1"/>
  <c r="U38" i="24"/>
  <c r="T38" i="24"/>
  <c r="S38" i="24"/>
  <c r="R38" i="24"/>
  <c r="Q38" i="24"/>
  <c r="P38" i="24"/>
  <c r="O38" i="24"/>
  <c r="N38" i="24"/>
  <c r="M38" i="24"/>
  <c r="L38" i="24"/>
  <c r="K38" i="24"/>
  <c r="J38" i="24"/>
  <c r="I38" i="24"/>
  <c r="H38" i="24"/>
  <c r="G38" i="24" s="1"/>
  <c r="U37" i="24"/>
  <c r="T37" i="24"/>
  <c r="S37" i="24"/>
  <c r="R37" i="24"/>
  <c r="Q37" i="24"/>
  <c r="P37" i="24"/>
  <c r="O37" i="24"/>
  <c r="N37" i="24"/>
  <c r="M37" i="24"/>
  <c r="L37" i="24"/>
  <c r="K37" i="24"/>
  <c r="J37" i="24"/>
  <c r="I37" i="24"/>
  <c r="H37" i="24"/>
  <c r="G37" i="24" s="1"/>
  <c r="U36" i="24"/>
  <c r="T36" i="24"/>
  <c r="S36" i="24"/>
  <c r="R36" i="24"/>
  <c r="Q36" i="24"/>
  <c r="P36" i="24"/>
  <c r="O36" i="24"/>
  <c r="N36" i="24"/>
  <c r="M36" i="24"/>
  <c r="L36" i="24"/>
  <c r="K36" i="24"/>
  <c r="J36" i="24"/>
  <c r="I36" i="24"/>
  <c r="H36" i="24"/>
  <c r="G36" i="24" s="1"/>
  <c r="U35" i="24"/>
  <c r="T35" i="24"/>
  <c r="S35" i="24"/>
  <c r="R35" i="24"/>
  <c r="Q35" i="24"/>
  <c r="P35" i="24"/>
  <c r="O35" i="24"/>
  <c r="N35" i="24"/>
  <c r="M35" i="24"/>
  <c r="L35" i="24"/>
  <c r="K35" i="24"/>
  <c r="J35" i="24"/>
  <c r="I35" i="24"/>
  <c r="H35" i="24"/>
  <c r="G35" i="24" s="1"/>
  <c r="U34" i="24"/>
  <c r="T34" i="24"/>
  <c r="S34" i="24"/>
  <c r="R34" i="24"/>
  <c r="Q34" i="24"/>
  <c r="P34" i="24"/>
  <c r="O34" i="24"/>
  <c r="N34" i="24"/>
  <c r="M34" i="24"/>
  <c r="L34" i="24"/>
  <c r="K34" i="24"/>
  <c r="J34" i="24"/>
  <c r="I34" i="24"/>
  <c r="H34" i="24"/>
  <c r="G34" i="24" s="1"/>
  <c r="U33" i="24"/>
  <c r="T33" i="24"/>
  <c r="S33" i="24"/>
  <c r="R33" i="24"/>
  <c r="Q33" i="24"/>
  <c r="P33" i="24"/>
  <c r="O33" i="24"/>
  <c r="N33" i="24"/>
  <c r="M33" i="24"/>
  <c r="L33" i="24"/>
  <c r="K33" i="24"/>
  <c r="J33" i="24"/>
  <c r="I33" i="24"/>
  <c r="H33" i="24"/>
  <c r="G33" i="24" s="1"/>
  <c r="U32" i="24"/>
  <c r="T32" i="24"/>
  <c r="S32" i="24"/>
  <c r="R32" i="24"/>
  <c r="Q32" i="24"/>
  <c r="P32" i="24"/>
  <c r="O32" i="24"/>
  <c r="N32" i="24"/>
  <c r="M32" i="24"/>
  <c r="L32" i="24"/>
  <c r="K32" i="24"/>
  <c r="J32" i="24"/>
  <c r="I32" i="24"/>
  <c r="H32" i="24"/>
  <c r="G32" i="24" s="1"/>
  <c r="U31" i="24"/>
  <c r="T31" i="24"/>
  <c r="S31" i="24"/>
  <c r="R31" i="24"/>
  <c r="Q31" i="24"/>
  <c r="P31" i="24"/>
  <c r="O31" i="24"/>
  <c r="N31" i="24"/>
  <c r="M31" i="24"/>
  <c r="L31" i="24"/>
  <c r="K31" i="24"/>
  <c r="J31" i="24"/>
  <c r="I31" i="24"/>
  <c r="H31" i="24"/>
  <c r="G31" i="24" s="1"/>
  <c r="U30" i="24"/>
  <c r="T30" i="24"/>
  <c r="S30" i="24"/>
  <c r="R30" i="24"/>
  <c r="Q30" i="24"/>
  <c r="P30" i="24"/>
  <c r="O30" i="24"/>
  <c r="N30" i="24"/>
  <c r="M30" i="24"/>
  <c r="L30" i="24"/>
  <c r="K30" i="24"/>
  <c r="J30" i="24"/>
  <c r="I30" i="24"/>
  <c r="H30" i="24"/>
  <c r="G30" i="24" s="1"/>
  <c r="U29" i="24"/>
  <c r="T29" i="24"/>
  <c r="S29" i="24"/>
  <c r="R29" i="24"/>
  <c r="Q29" i="24"/>
  <c r="P29" i="24"/>
  <c r="O29" i="24"/>
  <c r="N29" i="24"/>
  <c r="M29" i="24"/>
  <c r="L29" i="24"/>
  <c r="K29" i="24"/>
  <c r="J29" i="24"/>
  <c r="I29" i="24"/>
  <c r="H29" i="24"/>
  <c r="G29" i="24" s="1"/>
  <c r="U28" i="24"/>
  <c r="T28" i="24"/>
  <c r="S28" i="24"/>
  <c r="R28" i="24"/>
  <c r="Q28" i="24"/>
  <c r="P28" i="24"/>
  <c r="O28" i="24"/>
  <c r="N28" i="24"/>
  <c r="M28" i="24"/>
  <c r="L28" i="24"/>
  <c r="K28" i="24"/>
  <c r="J28" i="24"/>
  <c r="I28" i="24"/>
  <c r="H28" i="24"/>
  <c r="BA21" i="23"/>
  <c r="A10" i="23"/>
  <c r="BA11" i="23"/>
  <c r="BA16" i="23" s="1"/>
  <c r="AZ16" i="23" s="1"/>
  <c r="AZ7" i="23"/>
  <c r="AZ8" i="23"/>
  <c r="AZ22" i="23" s="1"/>
  <c r="BA22" i="23" s="1"/>
  <c r="AZ9" i="23"/>
  <c r="AZ10" i="23"/>
  <c r="AZ23" i="23" s="1"/>
  <c r="BA23" i="23" s="1"/>
  <c r="AZ12" i="23"/>
  <c r="AZ13" i="23"/>
  <c r="AZ14" i="23"/>
  <c r="AZ15" i="23"/>
  <c r="AZ6" i="23"/>
  <c r="AZ20" i="23"/>
  <c r="BA20" i="23" s="1"/>
  <c r="AZ21" i="23"/>
  <c r="E21" i="22"/>
  <c r="D21" i="22" s="1"/>
  <c r="F21" i="22"/>
  <c r="G21" i="22"/>
  <c r="H21" i="22"/>
  <c r="I21" i="22"/>
  <c r="J21" i="22"/>
  <c r="K21" i="22"/>
  <c r="L21" i="22"/>
  <c r="M21" i="22"/>
  <c r="N21" i="22"/>
  <c r="O21" i="22"/>
  <c r="P21" i="22"/>
  <c r="Q21" i="22"/>
  <c r="R21" i="22"/>
  <c r="E22" i="22"/>
  <c r="D22" i="22" s="1"/>
  <c r="F22" i="22"/>
  <c r="G22" i="22"/>
  <c r="H22" i="22"/>
  <c r="I22" i="22"/>
  <c r="J22" i="22"/>
  <c r="K22" i="22"/>
  <c r="L22" i="22"/>
  <c r="M22" i="22"/>
  <c r="N22" i="22"/>
  <c r="O22" i="22"/>
  <c r="P22" i="22"/>
  <c r="Q22" i="22"/>
  <c r="R22" i="22"/>
  <c r="H36" i="21"/>
  <c r="G36" i="21" s="1"/>
  <c r="I36" i="21"/>
  <c r="J36" i="21"/>
  <c r="K36" i="21"/>
  <c r="L36" i="21"/>
  <c r="M36" i="21"/>
  <c r="N36" i="21"/>
  <c r="O36" i="21"/>
  <c r="P36" i="21"/>
  <c r="Q36" i="21"/>
  <c r="R36" i="21"/>
  <c r="S36" i="21"/>
  <c r="T36" i="21"/>
  <c r="U36" i="21"/>
  <c r="H37" i="21"/>
  <c r="G37" i="21" s="1"/>
  <c r="I37" i="21"/>
  <c r="J37" i="21"/>
  <c r="K37" i="21"/>
  <c r="L37" i="21"/>
  <c r="M37" i="21"/>
  <c r="N37" i="21"/>
  <c r="O37" i="21"/>
  <c r="P37" i="21"/>
  <c r="Q37" i="21"/>
  <c r="R37" i="21"/>
  <c r="S37" i="21"/>
  <c r="T37" i="21"/>
  <c r="U37" i="21"/>
  <c r="H38" i="21"/>
  <c r="G38" i="21" s="1"/>
  <c r="I38" i="21"/>
  <c r="J38" i="21"/>
  <c r="K38" i="21"/>
  <c r="L38" i="21"/>
  <c r="M38" i="21"/>
  <c r="N38" i="21"/>
  <c r="O38" i="21"/>
  <c r="P38" i="21"/>
  <c r="Q38" i="21"/>
  <c r="R38" i="21"/>
  <c r="S38" i="21"/>
  <c r="T38" i="21"/>
  <c r="U38" i="21"/>
  <c r="H39" i="21"/>
  <c r="G39" i="21" s="1"/>
  <c r="I39" i="21"/>
  <c r="J39" i="21"/>
  <c r="K39" i="21"/>
  <c r="L39" i="21"/>
  <c r="M39" i="21"/>
  <c r="N39" i="21"/>
  <c r="O39" i="21"/>
  <c r="P39" i="21"/>
  <c r="Q39" i="21"/>
  <c r="R39" i="21"/>
  <c r="S39" i="21"/>
  <c r="T39" i="21"/>
  <c r="U39" i="21"/>
  <c r="H40" i="21"/>
  <c r="G40" i="21" s="1"/>
  <c r="I40" i="21"/>
  <c r="J40" i="21"/>
  <c r="K40" i="21"/>
  <c r="L40" i="21"/>
  <c r="M40" i="21"/>
  <c r="N40" i="21"/>
  <c r="O40" i="21"/>
  <c r="P40" i="21"/>
  <c r="Q40" i="21"/>
  <c r="R40" i="21"/>
  <c r="S40" i="21"/>
  <c r="T40" i="21"/>
  <c r="U40" i="21"/>
  <c r="H41" i="21"/>
  <c r="G41" i="21" s="1"/>
  <c r="I41" i="21"/>
  <c r="J41" i="21"/>
  <c r="K41" i="21"/>
  <c r="L41" i="21"/>
  <c r="M41" i="21"/>
  <c r="N41" i="21"/>
  <c r="O41" i="21"/>
  <c r="P41" i="21"/>
  <c r="Q41" i="21"/>
  <c r="R41" i="21"/>
  <c r="S41" i="21"/>
  <c r="T41" i="21"/>
  <c r="U41" i="21"/>
  <c r="H42" i="21"/>
  <c r="G42" i="21" s="1"/>
  <c r="I42" i="21"/>
  <c r="J42" i="21"/>
  <c r="K42" i="21"/>
  <c r="L42" i="21"/>
  <c r="M42" i="21"/>
  <c r="N42" i="21"/>
  <c r="O42" i="21"/>
  <c r="P42" i="21"/>
  <c r="Q42" i="21"/>
  <c r="R42" i="21"/>
  <c r="S42" i="21"/>
  <c r="T42" i="21"/>
  <c r="U42" i="21"/>
  <c r="H43" i="21"/>
  <c r="G43" i="21" s="1"/>
  <c r="I43" i="21"/>
  <c r="J43" i="21"/>
  <c r="K43" i="21"/>
  <c r="L43" i="21"/>
  <c r="M43" i="21"/>
  <c r="N43" i="21"/>
  <c r="O43" i="21"/>
  <c r="P43" i="21"/>
  <c r="Q43" i="21"/>
  <c r="R43" i="21"/>
  <c r="S43" i="21"/>
  <c r="T43" i="21"/>
  <c r="U43" i="21"/>
  <c r="H44" i="21"/>
  <c r="G44" i="21" s="1"/>
  <c r="I44" i="21"/>
  <c r="J44" i="21"/>
  <c r="K44" i="21"/>
  <c r="L44" i="21"/>
  <c r="M44" i="21"/>
  <c r="N44" i="21"/>
  <c r="O44" i="21"/>
  <c r="P44" i="21"/>
  <c r="Q44" i="21"/>
  <c r="R44" i="21"/>
  <c r="S44" i="21"/>
  <c r="T44" i="21"/>
  <c r="U44" i="21"/>
  <c r="H45" i="21"/>
  <c r="G45" i="21" s="1"/>
  <c r="I45" i="21"/>
  <c r="J45" i="21"/>
  <c r="K45" i="21"/>
  <c r="L45" i="21"/>
  <c r="M45" i="21"/>
  <c r="N45" i="21"/>
  <c r="O45" i="21"/>
  <c r="P45" i="21"/>
  <c r="Q45" i="21"/>
  <c r="R45" i="21"/>
  <c r="S45" i="21"/>
  <c r="T45" i="21"/>
  <c r="U45" i="21"/>
  <c r="H46" i="21"/>
  <c r="G46" i="21"/>
  <c r="I46" i="21"/>
  <c r="J46" i="21"/>
  <c r="K46" i="21"/>
  <c r="L46" i="21"/>
  <c r="M46" i="21"/>
  <c r="N46" i="21"/>
  <c r="O46" i="21"/>
  <c r="P46" i="21"/>
  <c r="Q46" i="21"/>
  <c r="R46" i="21"/>
  <c r="S46" i="21"/>
  <c r="T46" i="21"/>
  <c r="U46" i="21"/>
  <c r="H47" i="21"/>
  <c r="G47" i="21" s="1"/>
  <c r="I47" i="21"/>
  <c r="J47" i="21"/>
  <c r="K47" i="21"/>
  <c r="L47" i="21"/>
  <c r="M47" i="21"/>
  <c r="N47" i="21"/>
  <c r="O47" i="21"/>
  <c r="P47" i="21"/>
  <c r="Q47" i="21"/>
  <c r="R47" i="21"/>
  <c r="S47" i="21"/>
  <c r="T47" i="21"/>
  <c r="U47" i="21"/>
  <c r="H48" i="21"/>
  <c r="G48" i="21" s="1"/>
  <c r="I48" i="21"/>
  <c r="J48" i="21"/>
  <c r="K48" i="21"/>
  <c r="L48" i="21"/>
  <c r="M48" i="21"/>
  <c r="N48" i="21"/>
  <c r="O48" i="21"/>
  <c r="P48" i="21"/>
  <c r="Q48" i="21"/>
  <c r="R48" i="21"/>
  <c r="S48" i="21"/>
  <c r="T48" i="21"/>
  <c r="U48" i="21"/>
  <c r="H36" i="20"/>
  <c r="G36" i="20" s="1"/>
  <c r="I36" i="20"/>
  <c r="J36" i="20"/>
  <c r="K36" i="20"/>
  <c r="L36" i="20"/>
  <c r="M36" i="20"/>
  <c r="N36" i="20"/>
  <c r="O36" i="20"/>
  <c r="P36" i="20"/>
  <c r="Q36" i="20"/>
  <c r="R36" i="20"/>
  <c r="S36" i="20"/>
  <c r="T36" i="20"/>
  <c r="U36" i="20"/>
  <c r="H37" i="20"/>
  <c r="G37" i="20" s="1"/>
  <c r="I37" i="20"/>
  <c r="J37" i="20"/>
  <c r="K37" i="20"/>
  <c r="L37" i="20"/>
  <c r="M37" i="20"/>
  <c r="N37" i="20"/>
  <c r="O37" i="20"/>
  <c r="P37" i="20"/>
  <c r="Q37" i="20"/>
  <c r="R37" i="20"/>
  <c r="S37" i="20"/>
  <c r="T37" i="20"/>
  <c r="U37" i="20"/>
  <c r="H38" i="20"/>
  <c r="G38" i="20" s="1"/>
  <c r="I38" i="20"/>
  <c r="J38" i="20"/>
  <c r="K38" i="20"/>
  <c r="L38" i="20"/>
  <c r="M38" i="20"/>
  <c r="N38" i="20"/>
  <c r="O38" i="20"/>
  <c r="P38" i="20"/>
  <c r="Q38" i="20"/>
  <c r="R38" i="20"/>
  <c r="S38" i="20"/>
  <c r="T38" i="20"/>
  <c r="U38" i="20"/>
  <c r="H39" i="20"/>
  <c r="G39" i="20" s="1"/>
  <c r="I39" i="20"/>
  <c r="J39" i="20"/>
  <c r="K39" i="20"/>
  <c r="L39" i="20"/>
  <c r="M39" i="20"/>
  <c r="N39" i="20"/>
  <c r="O39" i="20"/>
  <c r="P39" i="20"/>
  <c r="Q39" i="20"/>
  <c r="R39" i="20"/>
  <c r="S39" i="20"/>
  <c r="T39" i="20"/>
  <c r="U39" i="20"/>
  <c r="H40" i="20"/>
  <c r="G40" i="20" s="1"/>
  <c r="I40" i="20"/>
  <c r="J40" i="20"/>
  <c r="K40" i="20"/>
  <c r="L40" i="20"/>
  <c r="M40" i="20"/>
  <c r="N40" i="20"/>
  <c r="O40" i="20"/>
  <c r="P40" i="20"/>
  <c r="Q40" i="20"/>
  <c r="R40" i="20"/>
  <c r="S40" i="20"/>
  <c r="T40" i="20"/>
  <c r="U40" i="20"/>
  <c r="H41" i="20"/>
  <c r="G41" i="20" s="1"/>
  <c r="I41" i="20"/>
  <c r="J41" i="20"/>
  <c r="K41" i="20"/>
  <c r="L41" i="20"/>
  <c r="M41" i="20"/>
  <c r="N41" i="20"/>
  <c r="O41" i="20"/>
  <c r="P41" i="20"/>
  <c r="Q41" i="20"/>
  <c r="R41" i="20"/>
  <c r="S41" i="20"/>
  <c r="T41" i="20"/>
  <c r="U41" i="20"/>
  <c r="H42" i="20"/>
  <c r="G42" i="20" s="1"/>
  <c r="I42" i="20"/>
  <c r="J42" i="20"/>
  <c r="K42" i="20"/>
  <c r="L42" i="20"/>
  <c r="M42" i="20"/>
  <c r="N42" i="20"/>
  <c r="O42" i="20"/>
  <c r="P42" i="20"/>
  <c r="Q42" i="20"/>
  <c r="R42" i="20"/>
  <c r="S42" i="20"/>
  <c r="T42" i="20"/>
  <c r="U42" i="20"/>
  <c r="H43" i="20"/>
  <c r="G43" i="20" s="1"/>
  <c r="I43" i="20"/>
  <c r="J43" i="20"/>
  <c r="K43" i="20"/>
  <c r="L43" i="20"/>
  <c r="M43" i="20"/>
  <c r="N43" i="20"/>
  <c r="O43" i="20"/>
  <c r="P43" i="20"/>
  <c r="Q43" i="20"/>
  <c r="R43" i="20"/>
  <c r="S43" i="20"/>
  <c r="T43" i="20"/>
  <c r="U43" i="20"/>
  <c r="H44" i="20"/>
  <c r="G44" i="20" s="1"/>
  <c r="I44" i="20"/>
  <c r="J44" i="20"/>
  <c r="K44" i="20"/>
  <c r="L44" i="20"/>
  <c r="M44" i="20"/>
  <c r="N44" i="20"/>
  <c r="O44" i="20"/>
  <c r="P44" i="20"/>
  <c r="Q44" i="20"/>
  <c r="R44" i="20"/>
  <c r="S44" i="20"/>
  <c r="T44" i="20"/>
  <c r="U44" i="20"/>
  <c r="H45" i="20"/>
  <c r="G45" i="20" s="1"/>
  <c r="I45" i="20"/>
  <c r="J45" i="20"/>
  <c r="K45" i="20"/>
  <c r="L45" i="20"/>
  <c r="M45" i="20"/>
  <c r="N45" i="20"/>
  <c r="O45" i="20"/>
  <c r="P45" i="20"/>
  <c r="Q45" i="20"/>
  <c r="R45" i="20"/>
  <c r="S45" i="20"/>
  <c r="T45" i="20"/>
  <c r="U45" i="20"/>
  <c r="H46" i="20"/>
  <c r="G46" i="20" s="1"/>
  <c r="I46" i="20"/>
  <c r="J46" i="20"/>
  <c r="K46" i="20"/>
  <c r="L46" i="20"/>
  <c r="M46" i="20"/>
  <c r="N46" i="20"/>
  <c r="O46" i="20"/>
  <c r="P46" i="20"/>
  <c r="Q46" i="20"/>
  <c r="R46" i="20"/>
  <c r="S46" i="20"/>
  <c r="T46" i="20"/>
  <c r="U46" i="20"/>
  <c r="H47" i="20"/>
  <c r="G47" i="20" s="1"/>
  <c r="I47" i="20"/>
  <c r="J47" i="20"/>
  <c r="K47" i="20"/>
  <c r="L47" i="20"/>
  <c r="M47" i="20"/>
  <c r="N47" i="20"/>
  <c r="O47" i="20"/>
  <c r="P47" i="20"/>
  <c r="Q47" i="20"/>
  <c r="R47" i="20"/>
  <c r="S47" i="20"/>
  <c r="T47" i="20"/>
  <c r="U47" i="20"/>
  <c r="H48" i="20"/>
  <c r="G48" i="20"/>
  <c r="I48" i="20"/>
  <c r="J48" i="20"/>
  <c r="K48" i="20"/>
  <c r="L48" i="20"/>
  <c r="M48" i="20"/>
  <c r="N48" i="20"/>
  <c r="O48" i="20"/>
  <c r="P48" i="20"/>
  <c r="Q48" i="20"/>
  <c r="R48" i="20"/>
  <c r="S48" i="20"/>
  <c r="T48" i="20"/>
  <c r="U48" i="20"/>
  <c r="E15" i="19"/>
  <c r="D15" i="19" s="1"/>
  <c r="F15" i="19"/>
  <c r="G15" i="19"/>
  <c r="H15" i="19"/>
  <c r="I15" i="19"/>
  <c r="J15" i="19"/>
  <c r="K15" i="19"/>
  <c r="L15" i="19"/>
  <c r="M15" i="19"/>
  <c r="N15" i="19"/>
  <c r="O15" i="19"/>
  <c r="P15" i="19"/>
  <c r="Q15" i="19"/>
  <c r="R15" i="19"/>
  <c r="E16" i="19"/>
  <c r="D16" i="19" s="1"/>
  <c r="F16" i="19"/>
  <c r="G16" i="19"/>
  <c r="H16" i="19"/>
  <c r="I16" i="19"/>
  <c r="J16" i="19"/>
  <c r="K16" i="19"/>
  <c r="L16" i="19"/>
  <c r="M16" i="19"/>
  <c r="N16" i="19"/>
  <c r="O16" i="19"/>
  <c r="P16" i="19"/>
  <c r="Q16" i="19"/>
  <c r="R16" i="19"/>
  <c r="E17" i="19"/>
  <c r="D17" i="19" s="1"/>
  <c r="F17" i="19"/>
  <c r="G17" i="19"/>
  <c r="H17" i="19"/>
  <c r="I17" i="19"/>
  <c r="J17" i="19"/>
  <c r="K17" i="19"/>
  <c r="L17" i="19"/>
  <c r="M17" i="19"/>
  <c r="N17" i="19"/>
  <c r="O17" i="19"/>
  <c r="P17" i="19"/>
  <c r="Q17" i="19"/>
  <c r="R17" i="19"/>
  <c r="E18" i="19"/>
  <c r="D18" i="19" s="1"/>
  <c r="F18" i="19"/>
  <c r="G18" i="19"/>
  <c r="H18" i="19"/>
  <c r="I18" i="19"/>
  <c r="J18" i="19"/>
  <c r="K18" i="19"/>
  <c r="L18" i="19"/>
  <c r="M18" i="19"/>
  <c r="N18" i="19"/>
  <c r="O18" i="19"/>
  <c r="P18" i="19"/>
  <c r="Q18" i="19"/>
  <c r="R18" i="19"/>
  <c r="E19" i="19"/>
  <c r="D19" i="19" s="1"/>
  <c r="F19" i="19"/>
  <c r="G19" i="19"/>
  <c r="H19" i="19"/>
  <c r="I19" i="19"/>
  <c r="J19" i="19"/>
  <c r="K19" i="19"/>
  <c r="L19" i="19"/>
  <c r="M19" i="19"/>
  <c r="N19" i="19"/>
  <c r="O19" i="19"/>
  <c r="P19" i="19"/>
  <c r="Q19" i="19"/>
  <c r="R19" i="19"/>
  <c r="E20" i="19"/>
  <c r="D20" i="19" s="1"/>
  <c r="F20" i="19"/>
  <c r="G20" i="19"/>
  <c r="H20" i="19"/>
  <c r="I20" i="19"/>
  <c r="J20" i="19"/>
  <c r="K20" i="19"/>
  <c r="L20" i="19"/>
  <c r="M20" i="19"/>
  <c r="N20" i="19"/>
  <c r="O20" i="19"/>
  <c r="P20" i="19"/>
  <c r="Q20" i="19"/>
  <c r="R20" i="19"/>
  <c r="E21" i="19"/>
  <c r="D21" i="19" s="1"/>
  <c r="F21" i="19"/>
  <c r="G21" i="19"/>
  <c r="H21" i="19"/>
  <c r="I21" i="19"/>
  <c r="J21" i="19"/>
  <c r="K21" i="19"/>
  <c r="L21" i="19"/>
  <c r="M21" i="19"/>
  <c r="N21" i="19"/>
  <c r="O21" i="19"/>
  <c r="P21" i="19"/>
  <c r="Q21" i="19"/>
  <c r="R21" i="19"/>
  <c r="E22" i="19"/>
  <c r="D22" i="19" s="1"/>
  <c r="F22" i="19"/>
  <c r="G22" i="19"/>
  <c r="H22" i="19"/>
  <c r="I22" i="19"/>
  <c r="J22" i="19"/>
  <c r="K22" i="19"/>
  <c r="L22" i="19"/>
  <c r="M22" i="19"/>
  <c r="N22" i="19"/>
  <c r="O22" i="19"/>
  <c r="P22" i="19"/>
  <c r="Q22" i="19"/>
  <c r="R22" i="19"/>
  <c r="H36" i="17"/>
  <c r="G36" i="17" s="1"/>
  <c r="I36" i="17"/>
  <c r="J36" i="17"/>
  <c r="K36" i="17"/>
  <c r="L36" i="17"/>
  <c r="M36" i="17"/>
  <c r="N36" i="17"/>
  <c r="O36" i="17"/>
  <c r="P36" i="17"/>
  <c r="Q36" i="17"/>
  <c r="R36" i="17"/>
  <c r="S36" i="17"/>
  <c r="T36" i="17"/>
  <c r="U36" i="17"/>
  <c r="H37" i="17"/>
  <c r="G37" i="17" s="1"/>
  <c r="I37" i="17"/>
  <c r="J37" i="17"/>
  <c r="K37" i="17"/>
  <c r="L37" i="17"/>
  <c r="M37" i="17"/>
  <c r="N37" i="17"/>
  <c r="O37" i="17"/>
  <c r="P37" i="17"/>
  <c r="Q37" i="17"/>
  <c r="R37" i="17"/>
  <c r="S37" i="17"/>
  <c r="T37" i="17"/>
  <c r="U37" i="17"/>
  <c r="H38" i="17"/>
  <c r="G38" i="17" s="1"/>
  <c r="I38" i="17"/>
  <c r="J38" i="17"/>
  <c r="K38" i="17"/>
  <c r="L38" i="17"/>
  <c r="M38" i="17"/>
  <c r="N38" i="17"/>
  <c r="O38" i="17"/>
  <c r="P38" i="17"/>
  <c r="Q38" i="17"/>
  <c r="R38" i="17"/>
  <c r="S38" i="17"/>
  <c r="T38" i="17"/>
  <c r="U38" i="17"/>
  <c r="H39" i="17"/>
  <c r="G39" i="17" s="1"/>
  <c r="I39" i="17"/>
  <c r="J39" i="17"/>
  <c r="K39" i="17"/>
  <c r="L39" i="17"/>
  <c r="M39" i="17"/>
  <c r="N39" i="17"/>
  <c r="O39" i="17"/>
  <c r="P39" i="17"/>
  <c r="Q39" i="17"/>
  <c r="R39" i="17"/>
  <c r="S39" i="17"/>
  <c r="T39" i="17"/>
  <c r="U39" i="17"/>
  <c r="H40" i="17"/>
  <c r="G40" i="17" s="1"/>
  <c r="I40" i="17"/>
  <c r="J40" i="17"/>
  <c r="K40" i="17"/>
  <c r="L40" i="17"/>
  <c r="M40" i="17"/>
  <c r="N40" i="17"/>
  <c r="O40" i="17"/>
  <c r="P40" i="17"/>
  <c r="Q40" i="17"/>
  <c r="R40" i="17"/>
  <c r="S40" i="17"/>
  <c r="T40" i="17"/>
  <c r="U40" i="17"/>
  <c r="H41" i="17"/>
  <c r="G41" i="17" s="1"/>
  <c r="I41" i="17"/>
  <c r="J41" i="17"/>
  <c r="K41" i="17"/>
  <c r="L41" i="17"/>
  <c r="M41" i="17"/>
  <c r="N41" i="17"/>
  <c r="O41" i="17"/>
  <c r="P41" i="17"/>
  <c r="Q41" i="17"/>
  <c r="R41" i="17"/>
  <c r="S41" i="17"/>
  <c r="T41" i="17"/>
  <c r="U41" i="17"/>
  <c r="H42" i="17"/>
  <c r="G42" i="17" s="1"/>
  <c r="I42" i="17"/>
  <c r="J42" i="17"/>
  <c r="K42" i="17"/>
  <c r="L42" i="17"/>
  <c r="M42" i="17"/>
  <c r="N42" i="17"/>
  <c r="O42" i="17"/>
  <c r="P42" i="17"/>
  <c r="Q42" i="17"/>
  <c r="R42" i="17"/>
  <c r="S42" i="17"/>
  <c r="T42" i="17"/>
  <c r="U42" i="17"/>
  <c r="H43" i="17"/>
  <c r="G43" i="17" s="1"/>
  <c r="I43" i="17"/>
  <c r="J43" i="17"/>
  <c r="K43" i="17"/>
  <c r="L43" i="17"/>
  <c r="M43" i="17"/>
  <c r="N43" i="17"/>
  <c r="O43" i="17"/>
  <c r="P43" i="17"/>
  <c r="Q43" i="17"/>
  <c r="R43" i="17"/>
  <c r="S43" i="17"/>
  <c r="T43" i="17"/>
  <c r="U43" i="17"/>
  <c r="H44" i="17"/>
  <c r="G44" i="17" s="1"/>
  <c r="I44" i="17"/>
  <c r="J44" i="17"/>
  <c r="K44" i="17"/>
  <c r="L44" i="17"/>
  <c r="M44" i="17"/>
  <c r="N44" i="17"/>
  <c r="O44" i="17"/>
  <c r="P44" i="17"/>
  <c r="Q44" i="17"/>
  <c r="R44" i="17"/>
  <c r="S44" i="17"/>
  <c r="T44" i="17"/>
  <c r="U44" i="17"/>
  <c r="H45" i="17"/>
  <c r="G45" i="17"/>
  <c r="I45" i="17"/>
  <c r="J45" i="17"/>
  <c r="K45" i="17"/>
  <c r="L45" i="17"/>
  <c r="M45" i="17"/>
  <c r="N45" i="17"/>
  <c r="O45" i="17"/>
  <c r="P45" i="17"/>
  <c r="Q45" i="17"/>
  <c r="R45" i="17"/>
  <c r="S45" i="17"/>
  <c r="T45" i="17"/>
  <c r="U45" i="17"/>
  <c r="H46" i="17"/>
  <c r="G46" i="17" s="1"/>
  <c r="I46" i="17"/>
  <c r="J46" i="17"/>
  <c r="K46" i="17"/>
  <c r="L46" i="17"/>
  <c r="M46" i="17"/>
  <c r="N46" i="17"/>
  <c r="O46" i="17"/>
  <c r="P46" i="17"/>
  <c r="Q46" i="17"/>
  <c r="R46" i="17"/>
  <c r="S46" i="17"/>
  <c r="T46" i="17"/>
  <c r="U46" i="17"/>
  <c r="H47" i="17"/>
  <c r="G47" i="17" s="1"/>
  <c r="I47" i="17"/>
  <c r="J47" i="17"/>
  <c r="K47" i="17"/>
  <c r="L47" i="17"/>
  <c r="M47" i="17"/>
  <c r="N47" i="17"/>
  <c r="O47" i="17"/>
  <c r="P47" i="17"/>
  <c r="Q47" i="17"/>
  <c r="R47" i="17"/>
  <c r="S47" i="17"/>
  <c r="T47" i="17"/>
  <c r="U47" i="17"/>
  <c r="H48" i="17"/>
  <c r="G48" i="17" s="1"/>
  <c r="I48" i="17"/>
  <c r="J48" i="17"/>
  <c r="K48" i="17"/>
  <c r="L48" i="17"/>
  <c r="M48" i="17"/>
  <c r="N48" i="17"/>
  <c r="O48" i="17"/>
  <c r="P48" i="17"/>
  <c r="Q48" i="17"/>
  <c r="R48" i="17"/>
  <c r="S48" i="17"/>
  <c r="T48" i="17"/>
  <c r="U48" i="17"/>
  <c r="H49" i="17"/>
  <c r="I49" i="17"/>
  <c r="J49" i="17"/>
  <c r="K49" i="17"/>
  <c r="L49" i="17"/>
  <c r="M49" i="17"/>
  <c r="N49" i="17"/>
  <c r="O49" i="17"/>
  <c r="P49" i="17"/>
  <c r="Q49" i="17"/>
  <c r="R49" i="17"/>
  <c r="S49" i="17"/>
  <c r="T49" i="17"/>
  <c r="U49" i="17"/>
  <c r="V12" i="10"/>
  <c r="W12" i="10"/>
  <c r="X12" i="10"/>
  <c r="Y12" i="10"/>
  <c r="Z12" i="10"/>
  <c r="AA12" i="10"/>
  <c r="AB12" i="10"/>
  <c r="AC12" i="10"/>
  <c r="AD12" i="10"/>
  <c r="AE12" i="10"/>
  <c r="V13" i="10"/>
  <c r="W13" i="10"/>
  <c r="X13" i="10"/>
  <c r="Y13" i="10"/>
  <c r="Z13" i="10"/>
  <c r="AA13" i="10"/>
  <c r="AB13" i="10"/>
  <c r="AC13" i="10"/>
  <c r="AD13" i="10"/>
  <c r="AE13" i="10"/>
  <c r="V14" i="10"/>
  <c r="W14" i="10"/>
  <c r="X14" i="10"/>
  <c r="Y14" i="10"/>
  <c r="Z14" i="10"/>
  <c r="AA14" i="10"/>
  <c r="AB14" i="10"/>
  <c r="AC14" i="10"/>
  <c r="AD14" i="10"/>
  <c r="AE14" i="10"/>
  <c r="V15" i="10"/>
  <c r="W15" i="10"/>
  <c r="X15" i="10"/>
  <c r="Y15" i="10"/>
  <c r="Z15" i="10"/>
  <c r="AA15" i="10"/>
  <c r="AB15" i="10"/>
  <c r="AC15" i="10"/>
  <c r="AD15" i="10"/>
  <c r="AE15" i="10"/>
  <c r="V16" i="10"/>
  <c r="W16" i="10"/>
  <c r="X16" i="10"/>
  <c r="Y16" i="10"/>
  <c r="Z16" i="10"/>
  <c r="AA16" i="10"/>
  <c r="AB16" i="10"/>
  <c r="AC16" i="10"/>
  <c r="AD16" i="10"/>
  <c r="AE16" i="10"/>
  <c r="V17" i="10"/>
  <c r="W17" i="10"/>
  <c r="X17" i="10"/>
  <c r="Y17" i="10"/>
  <c r="Z17" i="10"/>
  <c r="AA17" i="10"/>
  <c r="AB17" i="10"/>
  <c r="AC17" i="10"/>
  <c r="AD17" i="10"/>
  <c r="AE17" i="10"/>
  <c r="V18" i="10"/>
  <c r="W18" i="10"/>
  <c r="X18" i="10"/>
  <c r="Y18" i="10"/>
  <c r="Z18" i="10"/>
  <c r="AA18" i="10"/>
  <c r="AB18" i="10"/>
  <c r="AC18" i="10"/>
  <c r="AD18" i="10"/>
  <c r="AE18" i="10"/>
  <c r="V19" i="10"/>
  <c r="W19" i="10"/>
  <c r="X19" i="10"/>
  <c r="Y19" i="10"/>
  <c r="Z19" i="10"/>
  <c r="AA19" i="10"/>
  <c r="AB19" i="10"/>
  <c r="AC19" i="10"/>
  <c r="AD19" i="10"/>
  <c r="AE19" i="10"/>
  <c r="V20" i="10"/>
  <c r="W20" i="10"/>
  <c r="X20" i="10"/>
  <c r="Y20" i="10"/>
  <c r="Z20" i="10"/>
  <c r="AA20" i="10"/>
  <c r="AB20" i="10"/>
  <c r="AC20" i="10"/>
  <c r="AD20" i="10"/>
  <c r="AE20" i="10"/>
  <c r="V21" i="10"/>
  <c r="W21" i="10"/>
  <c r="X21" i="10"/>
  <c r="Y21" i="10"/>
  <c r="Z21" i="10"/>
  <c r="AA21" i="10"/>
  <c r="AB21" i="10"/>
  <c r="AC21" i="10"/>
  <c r="AD21" i="10"/>
  <c r="AE21" i="10"/>
  <c r="V22" i="10"/>
  <c r="W22" i="10"/>
  <c r="X22" i="10"/>
  <c r="Y22" i="10"/>
  <c r="Z22" i="10"/>
  <c r="AA22" i="10"/>
  <c r="AB22" i="10"/>
  <c r="AC22" i="10"/>
  <c r="AD22" i="10"/>
  <c r="AE22" i="10"/>
  <c r="E22" i="10"/>
  <c r="D22" i="10" s="1"/>
  <c r="F22" i="10"/>
  <c r="G22" i="10"/>
  <c r="H22" i="10"/>
  <c r="I22" i="10"/>
  <c r="J22" i="10"/>
  <c r="K22" i="10"/>
  <c r="L22" i="10"/>
  <c r="M22" i="10"/>
  <c r="N22" i="10"/>
  <c r="O22" i="10"/>
  <c r="P22" i="10"/>
  <c r="Q22" i="10"/>
  <c r="R22" i="10"/>
  <c r="A5" i="17"/>
  <c r="A4" i="17"/>
  <c r="U15" i="17"/>
  <c r="AJ3" i="17"/>
  <c r="AK3" i="17"/>
  <c r="AJ4" i="17"/>
  <c r="AK4" i="17"/>
  <c r="AJ5" i="17"/>
  <c r="AK5" i="17"/>
  <c r="AJ6" i="17"/>
  <c r="AK6" i="17"/>
  <c r="AH6" i="17"/>
  <c r="U10" i="17" s="1"/>
  <c r="AJ7" i="17"/>
  <c r="AK7" i="17"/>
  <c r="AJ8" i="17"/>
  <c r="AG8" i="17"/>
  <c r="P12" i="17" s="1"/>
  <c r="AK8" i="17"/>
  <c r="AJ9" i="17"/>
  <c r="AK9" i="17"/>
  <c r="AH9" i="17" s="1"/>
  <c r="U13" i="17" s="1"/>
  <c r="AJ10" i="17"/>
  <c r="AK10" i="17"/>
  <c r="AJ11" i="17"/>
  <c r="AG11" i="17" s="1"/>
  <c r="P15" i="17" s="1"/>
  <c r="AK11" i="17"/>
  <c r="AJ12" i="17"/>
  <c r="AK12" i="17"/>
  <c r="AK2" i="17"/>
  <c r="AH2" i="17" s="1"/>
  <c r="U6" i="17" s="1"/>
  <c r="AJ2" i="17"/>
  <c r="AG2" i="17" s="1"/>
  <c r="P6" i="17" s="1"/>
  <c r="AI3" i="17"/>
  <c r="AG3" i="17" s="1"/>
  <c r="P7" i="17" s="1"/>
  <c r="AI4" i="17"/>
  <c r="AH5" i="17"/>
  <c r="U9" i="17" s="1"/>
  <c r="AI5" i="17"/>
  <c r="AG5" i="17" s="1"/>
  <c r="P9" i="17" s="1"/>
  <c r="AI6" i="17"/>
  <c r="AG6" i="17"/>
  <c r="P10" i="17"/>
  <c r="AI7" i="17"/>
  <c r="AG7" i="17" s="1"/>
  <c r="P11" i="17" s="1"/>
  <c r="AH8" i="17"/>
  <c r="U12" i="17" s="1"/>
  <c r="AI8" i="17"/>
  <c r="AI9" i="17"/>
  <c r="AG9" i="17" s="1"/>
  <c r="P13" i="17" s="1"/>
  <c r="AI10" i="17"/>
  <c r="AI11" i="17"/>
  <c r="AI12" i="17"/>
  <c r="AG12" i="17" s="1"/>
  <c r="P16" i="17" s="1"/>
  <c r="AH12" i="17"/>
  <c r="U16" i="17" s="1"/>
  <c r="AI2" i="17"/>
  <c r="T23" i="17"/>
  <c r="T22" i="17"/>
  <c r="O23" i="17"/>
  <c r="O22" i="17"/>
  <c r="H3" i="12"/>
  <c r="G3" i="12" s="1"/>
  <c r="R2" i="12"/>
  <c r="Q2" i="12"/>
  <c r="P2" i="12"/>
  <c r="O2" i="12"/>
  <c r="N2" i="12"/>
  <c r="M2" i="12"/>
  <c r="L2" i="12"/>
  <c r="K2" i="12"/>
  <c r="J2" i="12"/>
  <c r="I2" i="12"/>
  <c r="H2" i="12"/>
  <c r="H3" i="11"/>
  <c r="G3" i="11" s="1"/>
  <c r="I2" i="11"/>
  <c r="J2" i="11"/>
  <c r="K2" i="11"/>
  <c r="L2" i="11"/>
  <c r="M2" i="11"/>
  <c r="N2" i="11"/>
  <c r="O2" i="11"/>
  <c r="P2" i="11"/>
  <c r="Q2" i="11"/>
  <c r="R2" i="11"/>
  <c r="H2" i="11"/>
  <c r="S3" i="14"/>
  <c r="T3" i="14"/>
  <c r="U3" i="14"/>
  <c r="V3" i="14"/>
  <c r="W3" i="14"/>
  <c r="X3" i="14"/>
  <c r="Y3" i="14"/>
  <c r="Z3" i="14"/>
  <c r="AA3" i="14"/>
  <c r="AB3" i="14"/>
  <c r="S4" i="14"/>
  <c r="T4" i="14"/>
  <c r="U4" i="14"/>
  <c r="V4" i="14"/>
  <c r="W4" i="14"/>
  <c r="X4" i="14"/>
  <c r="Y4" i="14"/>
  <c r="Z4" i="14"/>
  <c r="AA4" i="14"/>
  <c r="AB4" i="14"/>
  <c r="S5" i="14"/>
  <c r="T5" i="14"/>
  <c r="U5" i="14"/>
  <c r="V5" i="14"/>
  <c r="W5" i="14"/>
  <c r="X5" i="14"/>
  <c r="Y5" i="14"/>
  <c r="Z5" i="14"/>
  <c r="AA5" i="14"/>
  <c r="AB5" i="14"/>
  <c r="S6" i="14"/>
  <c r="T6" i="14"/>
  <c r="U6" i="14"/>
  <c r="V6" i="14"/>
  <c r="W6" i="14"/>
  <c r="X6" i="14"/>
  <c r="Y6" i="14"/>
  <c r="Z6" i="14"/>
  <c r="AA6" i="14"/>
  <c r="AB6" i="14"/>
  <c r="S7" i="14"/>
  <c r="T7" i="14"/>
  <c r="U7" i="14"/>
  <c r="V7" i="14"/>
  <c r="W7" i="14"/>
  <c r="X7" i="14"/>
  <c r="Y7" i="14"/>
  <c r="Z7" i="14"/>
  <c r="AA7" i="14"/>
  <c r="AB7" i="14"/>
  <c r="S8" i="14"/>
  <c r="T8" i="14"/>
  <c r="U8" i="14"/>
  <c r="V8" i="14"/>
  <c r="W8" i="14"/>
  <c r="X8" i="14"/>
  <c r="Y8" i="14"/>
  <c r="Z8" i="14"/>
  <c r="AA8" i="14"/>
  <c r="AB8" i="14"/>
  <c r="S9" i="14"/>
  <c r="T9" i="14"/>
  <c r="U9" i="14"/>
  <c r="V9" i="14"/>
  <c r="W9" i="14"/>
  <c r="X9" i="14"/>
  <c r="Y9" i="14"/>
  <c r="Z9" i="14"/>
  <c r="AA9" i="14"/>
  <c r="AB9" i="14"/>
  <c r="S10" i="14"/>
  <c r="T10" i="14"/>
  <c r="U10" i="14"/>
  <c r="V10" i="14"/>
  <c r="W10" i="14"/>
  <c r="X10" i="14"/>
  <c r="Y10" i="14"/>
  <c r="Z10" i="14"/>
  <c r="AA10" i="14"/>
  <c r="AB10" i="14"/>
  <c r="S11" i="14"/>
  <c r="T11" i="14"/>
  <c r="U11" i="14"/>
  <c r="V11" i="14"/>
  <c r="W11" i="14"/>
  <c r="X11" i="14"/>
  <c r="Y11" i="14"/>
  <c r="Z11" i="14"/>
  <c r="AA11" i="14"/>
  <c r="AB11" i="14"/>
  <c r="S12" i="14"/>
  <c r="T12" i="14"/>
  <c r="U12" i="14"/>
  <c r="V12" i="14"/>
  <c r="W12" i="14"/>
  <c r="X12" i="14"/>
  <c r="Y12" i="14"/>
  <c r="Z12" i="14"/>
  <c r="AA12" i="14"/>
  <c r="AB12" i="14"/>
  <c r="S13" i="14"/>
  <c r="T13" i="14"/>
  <c r="U13" i="14"/>
  <c r="V13" i="14"/>
  <c r="W13" i="14"/>
  <c r="X13" i="14"/>
  <c r="Y13" i="14"/>
  <c r="Z13" i="14"/>
  <c r="AA13" i="14"/>
  <c r="AB13" i="14"/>
  <c r="S14" i="14"/>
  <c r="T14" i="14"/>
  <c r="U14" i="14"/>
  <c r="V14" i="14"/>
  <c r="W14" i="14"/>
  <c r="X14" i="14"/>
  <c r="Y14" i="14"/>
  <c r="Z14" i="14"/>
  <c r="AA14" i="14"/>
  <c r="AB14" i="14"/>
  <c r="S15" i="14"/>
  <c r="T15" i="14"/>
  <c r="U15" i="14"/>
  <c r="V15" i="14"/>
  <c r="W15" i="14"/>
  <c r="X15" i="14"/>
  <c r="Y15" i="14"/>
  <c r="Z15" i="14"/>
  <c r="AA15" i="14"/>
  <c r="AB15" i="14"/>
  <c r="S16" i="14"/>
  <c r="T16" i="14"/>
  <c r="U16" i="14"/>
  <c r="V16" i="14"/>
  <c r="W16" i="14"/>
  <c r="X16" i="14"/>
  <c r="Y16" i="14"/>
  <c r="Z16" i="14"/>
  <c r="AA16" i="14"/>
  <c r="AB16" i="14"/>
  <c r="S17" i="14"/>
  <c r="T17" i="14"/>
  <c r="U17" i="14"/>
  <c r="V17" i="14"/>
  <c r="W17" i="14"/>
  <c r="X17" i="14"/>
  <c r="Y17" i="14"/>
  <c r="Z17" i="14"/>
  <c r="AA17" i="14"/>
  <c r="AB17" i="14"/>
  <c r="S18" i="14"/>
  <c r="T18" i="14"/>
  <c r="U18" i="14"/>
  <c r="V18" i="14"/>
  <c r="W18" i="14"/>
  <c r="X18" i="14"/>
  <c r="Y18" i="14"/>
  <c r="Z18" i="14"/>
  <c r="AA18" i="14"/>
  <c r="AB18" i="14"/>
  <c r="S19" i="14"/>
  <c r="T19" i="14"/>
  <c r="U19" i="14"/>
  <c r="V19" i="14"/>
  <c r="W19" i="14"/>
  <c r="X19" i="14"/>
  <c r="Y19" i="14"/>
  <c r="Z19" i="14"/>
  <c r="AA19" i="14"/>
  <c r="AB19" i="14"/>
  <c r="S20" i="14"/>
  <c r="T20" i="14"/>
  <c r="U20" i="14"/>
  <c r="V20" i="14"/>
  <c r="W20" i="14"/>
  <c r="X20" i="14"/>
  <c r="Y20" i="14"/>
  <c r="Z20" i="14"/>
  <c r="AA20" i="14"/>
  <c r="AB20" i="14"/>
  <c r="S21" i="14"/>
  <c r="T21" i="14"/>
  <c r="U21" i="14"/>
  <c r="V21" i="14"/>
  <c r="W21" i="14"/>
  <c r="X21" i="14"/>
  <c r="Y21" i="14"/>
  <c r="Z21" i="14"/>
  <c r="AA21" i="14"/>
  <c r="AB21" i="14"/>
  <c r="S22" i="14"/>
  <c r="T22" i="14"/>
  <c r="U22" i="14"/>
  <c r="V22" i="14"/>
  <c r="W22" i="14"/>
  <c r="X22" i="14"/>
  <c r="Y22" i="14"/>
  <c r="Z22" i="14"/>
  <c r="AA22" i="14"/>
  <c r="AB22" i="14"/>
  <c r="S23" i="14"/>
  <c r="T23" i="14"/>
  <c r="U23" i="14"/>
  <c r="V23" i="14"/>
  <c r="W23" i="14"/>
  <c r="X23" i="14"/>
  <c r="Y23" i="14"/>
  <c r="Z23" i="14"/>
  <c r="AA23" i="14"/>
  <c r="AB23" i="14"/>
  <c r="T2" i="14"/>
  <c r="U2" i="14"/>
  <c r="V2" i="14"/>
  <c r="W2" i="14"/>
  <c r="X2" i="14"/>
  <c r="Y2" i="14"/>
  <c r="Z2" i="14"/>
  <c r="AA2" i="14"/>
  <c r="AB2" i="14"/>
  <c r="S2" i="14"/>
  <c r="E3" i="14"/>
  <c r="D3" i="14" s="1"/>
  <c r="F2" i="14"/>
  <c r="G2" i="14"/>
  <c r="H2" i="14"/>
  <c r="I2" i="14"/>
  <c r="J2" i="14"/>
  <c r="K2" i="14"/>
  <c r="L2" i="14"/>
  <c r="M2" i="14"/>
  <c r="N2" i="14"/>
  <c r="O2" i="14"/>
  <c r="E2" i="14"/>
  <c r="H9" i="23"/>
  <c r="A9" i="23"/>
  <c r="H8" i="23"/>
  <c r="A8" i="23"/>
  <c r="J8" i="23"/>
  <c r="C8" i="23" s="1"/>
  <c r="H7" i="23"/>
  <c r="A7" i="23" s="1"/>
  <c r="H6" i="23"/>
  <c r="A6" i="23"/>
  <c r="H5" i="23"/>
  <c r="A5" i="23" s="1"/>
  <c r="H4" i="23"/>
  <c r="A4" i="23"/>
  <c r="L4" i="23"/>
  <c r="H3" i="23"/>
  <c r="A3" i="23"/>
  <c r="O36" i="23"/>
  <c r="N36" i="23" s="1"/>
  <c r="P36" i="23"/>
  <c r="Q36" i="23"/>
  <c r="R36" i="23"/>
  <c r="S36" i="23"/>
  <c r="T36" i="23"/>
  <c r="U36" i="23"/>
  <c r="V36" i="23"/>
  <c r="W36" i="23"/>
  <c r="X36" i="23"/>
  <c r="Y36" i="23"/>
  <c r="Z36" i="23"/>
  <c r="AA36" i="23"/>
  <c r="AB36" i="23"/>
  <c r="O37" i="23"/>
  <c r="N37" i="23" s="1"/>
  <c r="P37" i="23"/>
  <c r="Q37" i="23"/>
  <c r="R37" i="23"/>
  <c r="S37" i="23"/>
  <c r="T37" i="23"/>
  <c r="U37" i="23"/>
  <c r="V37" i="23"/>
  <c r="W37" i="23"/>
  <c r="X37" i="23"/>
  <c r="Y37" i="23"/>
  <c r="Z37" i="23"/>
  <c r="AA37" i="23"/>
  <c r="AB37" i="23"/>
  <c r="O38" i="23"/>
  <c r="N38" i="23" s="1"/>
  <c r="P38" i="23"/>
  <c r="Q38" i="23"/>
  <c r="R38" i="23"/>
  <c r="S38" i="23"/>
  <c r="T38" i="23"/>
  <c r="U38" i="23"/>
  <c r="V38" i="23"/>
  <c r="W38" i="23"/>
  <c r="X38" i="23"/>
  <c r="Y38" i="23"/>
  <c r="Z38" i="23"/>
  <c r="AA38" i="23"/>
  <c r="AB38" i="23"/>
  <c r="O39" i="23"/>
  <c r="N39" i="23" s="1"/>
  <c r="P39" i="23"/>
  <c r="Q39" i="23"/>
  <c r="R39" i="23"/>
  <c r="S39" i="23"/>
  <c r="T39" i="23"/>
  <c r="U39" i="23"/>
  <c r="V39" i="23"/>
  <c r="W39" i="23"/>
  <c r="X39" i="23"/>
  <c r="Y39" i="23"/>
  <c r="Z39" i="23"/>
  <c r="AA39" i="23"/>
  <c r="AB39" i="23"/>
  <c r="O40" i="23"/>
  <c r="N40" i="23" s="1"/>
  <c r="P40" i="23"/>
  <c r="Q40" i="23"/>
  <c r="R40" i="23"/>
  <c r="S40" i="23"/>
  <c r="T40" i="23"/>
  <c r="U40" i="23"/>
  <c r="V40" i="23"/>
  <c r="W40" i="23"/>
  <c r="X40" i="23"/>
  <c r="Y40" i="23"/>
  <c r="Z40" i="23"/>
  <c r="AA40" i="23"/>
  <c r="AB40" i="23"/>
  <c r="O41" i="23"/>
  <c r="N41" i="23" s="1"/>
  <c r="P41" i="23"/>
  <c r="Q41" i="23"/>
  <c r="R41" i="23"/>
  <c r="S41" i="23"/>
  <c r="T41" i="23"/>
  <c r="U41" i="23"/>
  <c r="V41" i="23"/>
  <c r="W41" i="23"/>
  <c r="X41" i="23"/>
  <c r="Y41" i="23"/>
  <c r="Z41" i="23"/>
  <c r="AA41" i="23"/>
  <c r="AB41" i="23"/>
  <c r="O42" i="23"/>
  <c r="N42" i="23" s="1"/>
  <c r="P42" i="23"/>
  <c r="Q42" i="23"/>
  <c r="R42" i="23"/>
  <c r="S42" i="23"/>
  <c r="T42" i="23"/>
  <c r="U42" i="23"/>
  <c r="V42" i="23"/>
  <c r="W42" i="23"/>
  <c r="X42" i="23"/>
  <c r="Y42" i="23"/>
  <c r="Z42" i="23"/>
  <c r="AA42" i="23"/>
  <c r="AB42" i="23"/>
  <c r="O43" i="23"/>
  <c r="N43" i="23" s="1"/>
  <c r="P43" i="23"/>
  <c r="Q43" i="23"/>
  <c r="R43" i="23"/>
  <c r="S43" i="23"/>
  <c r="T43" i="23"/>
  <c r="U43" i="23"/>
  <c r="V43" i="23"/>
  <c r="W43" i="23"/>
  <c r="X43" i="23"/>
  <c r="Y43" i="23"/>
  <c r="Z43" i="23"/>
  <c r="AA43" i="23"/>
  <c r="AB43" i="23"/>
  <c r="O44" i="23"/>
  <c r="N44" i="23" s="1"/>
  <c r="P44" i="23"/>
  <c r="Q44" i="23"/>
  <c r="R44" i="23"/>
  <c r="S44" i="23"/>
  <c r="T44" i="23"/>
  <c r="U44" i="23"/>
  <c r="V44" i="23"/>
  <c r="W44" i="23"/>
  <c r="X44" i="23"/>
  <c r="Y44" i="23"/>
  <c r="Z44" i="23"/>
  <c r="AA44" i="23"/>
  <c r="AB44" i="23"/>
  <c r="O45" i="23"/>
  <c r="N45" i="23" s="1"/>
  <c r="P45" i="23"/>
  <c r="Q45" i="23"/>
  <c r="R45" i="23"/>
  <c r="S45" i="23"/>
  <c r="T45" i="23"/>
  <c r="U45" i="23"/>
  <c r="V45" i="23"/>
  <c r="W45" i="23"/>
  <c r="X45" i="23"/>
  <c r="Y45" i="23"/>
  <c r="Z45" i="23"/>
  <c r="AA45" i="23"/>
  <c r="AB45" i="23"/>
  <c r="O46" i="23"/>
  <c r="N46" i="23" s="1"/>
  <c r="P46" i="23"/>
  <c r="Q46" i="23"/>
  <c r="R46" i="23"/>
  <c r="S46" i="23"/>
  <c r="T46" i="23"/>
  <c r="U46" i="23"/>
  <c r="V46" i="23"/>
  <c r="W46" i="23"/>
  <c r="X46" i="23"/>
  <c r="Y46" i="23"/>
  <c r="Z46" i="23"/>
  <c r="AA46" i="23"/>
  <c r="AB46" i="23"/>
  <c r="O47" i="23"/>
  <c r="N47" i="23" s="1"/>
  <c r="P47" i="23"/>
  <c r="Q47" i="23"/>
  <c r="R47" i="23"/>
  <c r="S47" i="23"/>
  <c r="T47" i="23"/>
  <c r="U47" i="23"/>
  <c r="V47" i="23"/>
  <c r="W47" i="23"/>
  <c r="X47" i="23"/>
  <c r="Y47" i="23"/>
  <c r="Z47" i="23"/>
  <c r="AA47" i="23"/>
  <c r="AB47" i="23"/>
  <c r="O48" i="23"/>
  <c r="N48" i="23" s="1"/>
  <c r="P48" i="23"/>
  <c r="Q48" i="23"/>
  <c r="R48" i="23"/>
  <c r="S48" i="23"/>
  <c r="T48" i="23"/>
  <c r="U48" i="23"/>
  <c r="V48" i="23"/>
  <c r="W48" i="23"/>
  <c r="X48" i="23"/>
  <c r="Y48" i="23"/>
  <c r="Z48" i="23"/>
  <c r="AA48" i="23"/>
  <c r="AB48" i="23"/>
  <c r="AB35" i="23"/>
  <c r="AA35" i="23"/>
  <c r="Z35" i="23"/>
  <c r="Y35" i="23"/>
  <c r="X35" i="23"/>
  <c r="W35" i="23"/>
  <c r="V35" i="23"/>
  <c r="U35" i="23"/>
  <c r="T35" i="23"/>
  <c r="S35" i="23"/>
  <c r="R35" i="23"/>
  <c r="Q35" i="23"/>
  <c r="P35" i="23"/>
  <c r="O35" i="23"/>
  <c r="N35" i="23" s="1"/>
  <c r="AB34" i="23"/>
  <c r="AA34" i="23"/>
  <c r="Z34" i="23"/>
  <c r="Y34" i="23"/>
  <c r="X34" i="23"/>
  <c r="W34" i="23"/>
  <c r="V34" i="23"/>
  <c r="U34" i="23"/>
  <c r="T34" i="23"/>
  <c r="S34" i="23"/>
  <c r="R34" i="23"/>
  <c r="Q34" i="23"/>
  <c r="P34" i="23"/>
  <c r="O34" i="23"/>
  <c r="N34" i="23" s="1"/>
  <c r="AB33" i="23"/>
  <c r="AA33" i="23"/>
  <c r="Z33" i="23"/>
  <c r="Y33" i="23"/>
  <c r="X33" i="23"/>
  <c r="W33" i="23"/>
  <c r="V33" i="23"/>
  <c r="U33" i="23"/>
  <c r="T33" i="23"/>
  <c r="S33" i="23"/>
  <c r="R33" i="23"/>
  <c r="Q33" i="23"/>
  <c r="P33" i="23"/>
  <c r="O33" i="23"/>
  <c r="N33" i="23" s="1"/>
  <c r="AB32" i="23"/>
  <c r="AA32" i="23"/>
  <c r="Z32" i="23"/>
  <c r="Y32" i="23"/>
  <c r="X32" i="23"/>
  <c r="W32" i="23"/>
  <c r="V32" i="23"/>
  <c r="U32" i="23"/>
  <c r="T32" i="23"/>
  <c r="S32" i="23"/>
  <c r="R32" i="23"/>
  <c r="Q32" i="23"/>
  <c r="P32" i="23"/>
  <c r="O32" i="23"/>
  <c r="N32" i="23" s="1"/>
  <c r="AB31" i="23"/>
  <c r="AA31" i="23"/>
  <c r="Z31" i="23"/>
  <c r="Y31" i="23"/>
  <c r="X31" i="23"/>
  <c r="W31" i="23"/>
  <c r="V31" i="23"/>
  <c r="U31" i="23"/>
  <c r="T31" i="23"/>
  <c r="S31" i="23"/>
  <c r="R31" i="23"/>
  <c r="Q31" i="23"/>
  <c r="P31" i="23"/>
  <c r="O31" i="23"/>
  <c r="N31" i="23"/>
  <c r="AB30" i="23"/>
  <c r="AA30" i="23"/>
  <c r="Z30" i="23"/>
  <c r="Y30" i="23"/>
  <c r="X30" i="23"/>
  <c r="W30" i="23"/>
  <c r="V30" i="23"/>
  <c r="U30" i="23"/>
  <c r="T30" i="23"/>
  <c r="S30" i="23"/>
  <c r="R30" i="23"/>
  <c r="Q30" i="23"/>
  <c r="P30" i="23"/>
  <c r="O30" i="23"/>
  <c r="N30" i="23" s="1"/>
  <c r="AB29" i="23"/>
  <c r="AA29" i="23"/>
  <c r="Z29" i="23"/>
  <c r="Y29" i="23"/>
  <c r="X29" i="23"/>
  <c r="W29" i="23"/>
  <c r="V29" i="23"/>
  <c r="U29" i="23"/>
  <c r="T29" i="23"/>
  <c r="S29" i="23"/>
  <c r="R29" i="23"/>
  <c r="Q29" i="23"/>
  <c r="P29" i="23"/>
  <c r="O29" i="23"/>
  <c r="N29" i="23" s="1"/>
  <c r="AB28" i="23"/>
  <c r="AA28" i="23"/>
  <c r="Z28" i="23"/>
  <c r="Y28" i="23"/>
  <c r="X28" i="23"/>
  <c r="W28" i="23"/>
  <c r="V28" i="23"/>
  <c r="U28" i="23"/>
  <c r="T28" i="23"/>
  <c r="S28" i="23"/>
  <c r="R28" i="23"/>
  <c r="Q28" i="23"/>
  <c r="P28" i="23"/>
  <c r="O28" i="23"/>
  <c r="AV23" i="23"/>
  <c r="L9" i="23"/>
  <c r="E9" i="23" s="1"/>
  <c r="AU23" i="23"/>
  <c r="AQ23" i="23"/>
  <c r="L8" i="23"/>
  <c r="E8" i="23" s="1"/>
  <c r="AL23" i="23"/>
  <c r="L7" i="23" s="1"/>
  <c r="E7" i="23" s="1"/>
  <c r="AG23" i="23"/>
  <c r="L6" i="23"/>
  <c r="E6" i="23" s="1"/>
  <c r="AB23" i="23"/>
  <c r="L5" i="23"/>
  <c r="E5" i="23" s="1"/>
  <c r="W23" i="23"/>
  <c r="V23" i="23"/>
  <c r="R23" i="23"/>
  <c r="L3" i="23"/>
  <c r="E3" i="23" s="1"/>
  <c r="AU22" i="23"/>
  <c r="AQ22" i="23"/>
  <c r="AQ24" i="23" s="1"/>
  <c r="AL22" i="23"/>
  <c r="K7" i="23" s="1"/>
  <c r="D7" i="23" s="1"/>
  <c r="AG22" i="23"/>
  <c r="K6" i="23"/>
  <c r="AB22" i="23"/>
  <c r="K5" i="23"/>
  <c r="W22" i="23"/>
  <c r="K4" i="23" s="1"/>
  <c r="R22" i="23"/>
  <c r="K3" i="23" s="1"/>
  <c r="AU21" i="23"/>
  <c r="AU24" i="23" s="1"/>
  <c r="AQ21" i="23"/>
  <c r="AP21" i="23"/>
  <c r="AL21" i="23"/>
  <c r="J7" i="23"/>
  <c r="AK21" i="23"/>
  <c r="AG21" i="23"/>
  <c r="J6" i="23" s="1"/>
  <c r="C6" i="23" s="1"/>
  <c r="AF21" i="23"/>
  <c r="AB21" i="23"/>
  <c r="J5" i="23"/>
  <c r="C5" i="23" s="1"/>
  <c r="AA21" i="23"/>
  <c r="W21" i="23"/>
  <c r="J4" i="23"/>
  <c r="V21" i="23"/>
  <c r="R21" i="23"/>
  <c r="J3" i="23"/>
  <c r="C3" i="23" s="1"/>
  <c r="AU20" i="23"/>
  <c r="AQ20" i="23"/>
  <c r="I8" i="23" s="1"/>
  <c r="B8" i="23" s="1"/>
  <c r="M8" i="23"/>
  <c r="F8" i="23" s="1"/>
  <c r="AL20" i="23"/>
  <c r="I7" i="23" s="1"/>
  <c r="B7" i="23" s="1"/>
  <c r="AG20" i="23"/>
  <c r="AB20" i="23"/>
  <c r="I5" i="23"/>
  <c r="W20" i="23"/>
  <c r="I4" i="23"/>
  <c r="B4" i="23" s="1"/>
  <c r="R20" i="23"/>
  <c r="R24" i="23" s="1"/>
  <c r="M3" i="23" s="1"/>
  <c r="I3" i="23"/>
  <c r="B3" i="23" s="1"/>
  <c r="R16" i="23"/>
  <c r="P3" i="23" s="1"/>
  <c r="AU13" i="23"/>
  <c r="AQ13" i="23"/>
  <c r="AP8" i="23" s="1"/>
  <c r="AO3" i="23"/>
  <c r="AL13" i="23"/>
  <c r="AK6" i="23"/>
  <c r="AK20" i="23" s="1"/>
  <c r="AG13" i="23"/>
  <c r="AB13" i="23"/>
  <c r="Z3" i="23" s="1"/>
  <c r="AA9" i="23"/>
  <c r="W13" i="23"/>
  <c r="U3" i="23" s="1"/>
  <c r="AV10" i="23"/>
  <c r="AV21" i="23" s="1"/>
  <c r="J9" i="23" s="1"/>
  <c r="C9" i="23" s="1"/>
  <c r="AV9" i="23"/>
  <c r="AV8" i="23"/>
  <c r="AV7" i="23"/>
  <c r="V7" i="23"/>
  <c r="AV6" i="23"/>
  <c r="V6" i="23"/>
  <c r="AE3" i="22"/>
  <c r="AF3" i="22"/>
  <c r="AE4" i="22"/>
  <c r="AF4" i="22"/>
  <c r="AE5" i="22"/>
  <c r="AF5" i="22"/>
  <c r="AE6" i="22"/>
  <c r="AF6" i="22"/>
  <c r="AE7" i="22"/>
  <c r="AF7" i="22"/>
  <c r="AE8" i="22"/>
  <c r="AF8" i="22"/>
  <c r="AE9" i="22"/>
  <c r="AF9" i="22"/>
  <c r="AE10" i="22"/>
  <c r="AF10" i="22"/>
  <c r="AE11" i="22"/>
  <c r="AF11" i="22"/>
  <c r="AE12" i="22"/>
  <c r="AF12" i="22"/>
  <c r="AE13" i="22"/>
  <c r="AF13" i="22"/>
  <c r="AE14" i="22"/>
  <c r="AF14" i="22"/>
  <c r="AE15" i="22"/>
  <c r="AF15" i="22"/>
  <c r="AE16" i="22"/>
  <c r="AF16" i="22"/>
  <c r="AE17" i="22"/>
  <c r="AF17" i="22"/>
  <c r="AE18" i="22"/>
  <c r="AF18" i="22"/>
  <c r="AE19" i="22"/>
  <c r="AF19" i="22"/>
  <c r="AF2" i="22"/>
  <c r="AD19" i="22"/>
  <c r="AC19" i="22"/>
  <c r="AB19" i="22"/>
  <c r="AA19" i="22"/>
  <c r="Z19" i="22"/>
  <c r="Y19" i="22"/>
  <c r="X19" i="22"/>
  <c r="W19" i="22"/>
  <c r="V19" i="22"/>
  <c r="AD18" i="22"/>
  <c r="AC18" i="22"/>
  <c r="AB18" i="22"/>
  <c r="AA18" i="22"/>
  <c r="Z18" i="22"/>
  <c r="Y18" i="22"/>
  <c r="X18" i="22"/>
  <c r="W18" i="22"/>
  <c r="V18" i="22"/>
  <c r="AD17" i="22"/>
  <c r="AC17" i="22"/>
  <c r="AB17" i="22"/>
  <c r="AA17" i="22"/>
  <c r="Z17" i="22"/>
  <c r="Y17" i="22"/>
  <c r="X17" i="22"/>
  <c r="W17" i="22"/>
  <c r="V17" i="22"/>
  <c r="AD16" i="22"/>
  <c r="AC16" i="22"/>
  <c r="AB16" i="22"/>
  <c r="AA16" i="22"/>
  <c r="Z16" i="22"/>
  <c r="Y16" i="22"/>
  <c r="X16" i="22"/>
  <c r="W16" i="22"/>
  <c r="V16" i="22"/>
  <c r="AD15" i="22"/>
  <c r="AC15" i="22"/>
  <c r="AB15" i="22"/>
  <c r="AA15" i="22"/>
  <c r="Z15" i="22"/>
  <c r="Y15" i="22"/>
  <c r="X15" i="22"/>
  <c r="W15" i="22"/>
  <c r="V15" i="22"/>
  <c r="AD14" i="22"/>
  <c r="AC14" i="22"/>
  <c r="AB14" i="22"/>
  <c r="AA14" i="22"/>
  <c r="Z14" i="22"/>
  <c r="Y14" i="22"/>
  <c r="X14" i="22"/>
  <c r="W14" i="22"/>
  <c r="V14" i="22"/>
  <c r="AD13" i="22"/>
  <c r="AC13" i="22"/>
  <c r="AB13" i="22"/>
  <c r="AA13" i="22"/>
  <c r="Z13" i="22"/>
  <c r="Y13" i="22"/>
  <c r="X13" i="22"/>
  <c r="W13" i="22"/>
  <c r="V13" i="22"/>
  <c r="AD12" i="22"/>
  <c r="AC12" i="22"/>
  <c r="AB12" i="22"/>
  <c r="AA12" i="22"/>
  <c r="Z12" i="22"/>
  <c r="Y12" i="22"/>
  <c r="X12" i="22"/>
  <c r="W12" i="22"/>
  <c r="V12" i="22"/>
  <c r="AD11" i="22"/>
  <c r="AC11" i="22"/>
  <c r="AB11" i="22"/>
  <c r="AA11" i="22"/>
  <c r="Z11" i="22"/>
  <c r="Y11" i="22"/>
  <c r="X11" i="22"/>
  <c r="W11" i="22"/>
  <c r="V11" i="22"/>
  <c r="AD10" i="22"/>
  <c r="AC10" i="22"/>
  <c r="AB10" i="22"/>
  <c r="AA10" i="22"/>
  <c r="Z10" i="22"/>
  <c r="Y10" i="22"/>
  <c r="X10" i="22"/>
  <c r="W10" i="22"/>
  <c r="V10" i="22"/>
  <c r="AD9" i="22"/>
  <c r="AC9" i="22"/>
  <c r="AB9" i="22"/>
  <c r="AA9" i="22"/>
  <c r="Z9" i="22"/>
  <c r="Y9" i="22"/>
  <c r="X9" i="22"/>
  <c r="W9" i="22"/>
  <c r="V9" i="22"/>
  <c r="AD8" i="22"/>
  <c r="AC8" i="22"/>
  <c r="AB8" i="22"/>
  <c r="AA8" i="22"/>
  <c r="Z8" i="22"/>
  <c r="Y8" i="22"/>
  <c r="X8" i="22"/>
  <c r="W8" i="22"/>
  <c r="V8" i="22"/>
  <c r="AD7" i="22"/>
  <c r="AC7" i="22"/>
  <c r="AB7" i="22"/>
  <c r="AA7" i="22"/>
  <c r="Z7" i="22"/>
  <c r="Y7" i="22"/>
  <c r="X7" i="22"/>
  <c r="W7" i="22"/>
  <c r="V7" i="22"/>
  <c r="AD6" i="22"/>
  <c r="AC6" i="22"/>
  <c r="AB6" i="22"/>
  <c r="AA6" i="22"/>
  <c r="Z6" i="22"/>
  <c r="Y6" i="22"/>
  <c r="X6" i="22"/>
  <c r="W6" i="22"/>
  <c r="V6" i="22"/>
  <c r="AD5" i="22"/>
  <c r="AC5" i="22"/>
  <c r="AB5" i="22"/>
  <c r="AA5" i="22"/>
  <c r="Z5" i="22"/>
  <c r="Y5" i="22"/>
  <c r="X5" i="22"/>
  <c r="W5" i="22"/>
  <c r="V5" i="22"/>
  <c r="AD4" i="22"/>
  <c r="AC4" i="22"/>
  <c r="AB4" i="22"/>
  <c r="AA4" i="22"/>
  <c r="Z4" i="22"/>
  <c r="Y4" i="22"/>
  <c r="X4" i="22"/>
  <c r="W4" i="22"/>
  <c r="V4" i="22"/>
  <c r="AD3" i="22"/>
  <c r="AC3" i="22"/>
  <c r="AB3" i="22"/>
  <c r="AA3" i="22"/>
  <c r="Z3" i="22"/>
  <c r="Y3" i="22"/>
  <c r="X3" i="22"/>
  <c r="W3" i="22"/>
  <c r="V3" i="22"/>
  <c r="AE2" i="22"/>
  <c r="AD2" i="22"/>
  <c r="AC2" i="22"/>
  <c r="AB2" i="22"/>
  <c r="AA2" i="22"/>
  <c r="Z2" i="22"/>
  <c r="Y2" i="22"/>
  <c r="X2" i="22"/>
  <c r="W2" i="22"/>
  <c r="V2" i="22"/>
  <c r="R20" i="22"/>
  <c r="Q20" i="22"/>
  <c r="P20" i="22"/>
  <c r="O20" i="22"/>
  <c r="N20" i="22"/>
  <c r="M20" i="22"/>
  <c r="L20" i="22"/>
  <c r="K20" i="22"/>
  <c r="J20" i="22"/>
  <c r="I20" i="22"/>
  <c r="H20" i="22"/>
  <c r="G20" i="22"/>
  <c r="F20" i="22"/>
  <c r="E20" i="22"/>
  <c r="D20" i="22" s="1"/>
  <c r="R19" i="22"/>
  <c r="Q19" i="22"/>
  <c r="P19" i="22"/>
  <c r="O19" i="22"/>
  <c r="N19" i="22"/>
  <c r="M19" i="22"/>
  <c r="L19" i="22"/>
  <c r="K19" i="22"/>
  <c r="J19" i="22"/>
  <c r="I19" i="22"/>
  <c r="H19" i="22"/>
  <c r="G19" i="22"/>
  <c r="F19" i="22"/>
  <c r="E19" i="22"/>
  <c r="D19" i="22" s="1"/>
  <c r="R18" i="22"/>
  <c r="Q18" i="22"/>
  <c r="P18" i="22"/>
  <c r="O18" i="22"/>
  <c r="N18" i="22"/>
  <c r="M18" i="22"/>
  <c r="L18" i="22"/>
  <c r="K18" i="22"/>
  <c r="J18" i="22"/>
  <c r="I18" i="22"/>
  <c r="H18" i="22"/>
  <c r="G18" i="22"/>
  <c r="F18" i="22"/>
  <c r="E18" i="22"/>
  <c r="D18" i="22" s="1"/>
  <c r="R17" i="22"/>
  <c r="Q17" i="22"/>
  <c r="P17" i="22"/>
  <c r="O17" i="22"/>
  <c r="N17" i="22"/>
  <c r="M17" i="22"/>
  <c r="L17" i="22"/>
  <c r="K17" i="22"/>
  <c r="J17" i="22"/>
  <c r="I17" i="22"/>
  <c r="H17" i="22"/>
  <c r="G17" i="22"/>
  <c r="F17" i="22"/>
  <c r="E17" i="22"/>
  <c r="D17" i="22" s="1"/>
  <c r="R16" i="22"/>
  <c r="Q16" i="22"/>
  <c r="P16" i="22"/>
  <c r="O16" i="22"/>
  <c r="N16" i="22"/>
  <c r="M16" i="22"/>
  <c r="L16" i="22"/>
  <c r="K16" i="22"/>
  <c r="J16" i="22"/>
  <c r="I16" i="22"/>
  <c r="H16" i="22"/>
  <c r="G16" i="22"/>
  <c r="F16" i="22"/>
  <c r="E16" i="22"/>
  <c r="D16" i="22" s="1"/>
  <c r="R15" i="22"/>
  <c r="Q15" i="22"/>
  <c r="P15" i="22"/>
  <c r="O15" i="22"/>
  <c r="N15" i="22"/>
  <c r="M15" i="22"/>
  <c r="L15" i="22"/>
  <c r="K15" i="22"/>
  <c r="J15" i="22"/>
  <c r="I15" i="22"/>
  <c r="H15" i="22"/>
  <c r="G15" i="22"/>
  <c r="F15" i="22"/>
  <c r="E15" i="22"/>
  <c r="D15" i="22" s="1"/>
  <c r="R14" i="22"/>
  <c r="Q14" i="22"/>
  <c r="P14" i="22"/>
  <c r="O14" i="22"/>
  <c r="N14" i="22"/>
  <c r="M14" i="22"/>
  <c r="L14" i="22"/>
  <c r="K14" i="22"/>
  <c r="J14" i="22"/>
  <c r="I14" i="22"/>
  <c r="H14" i="22"/>
  <c r="G14" i="22"/>
  <c r="F14" i="22"/>
  <c r="E14" i="22"/>
  <c r="D14" i="22" s="1"/>
  <c r="R13" i="22"/>
  <c r="Q13" i="22"/>
  <c r="P13" i="22"/>
  <c r="O13" i="22"/>
  <c r="N13" i="22"/>
  <c r="M13" i="22"/>
  <c r="L13" i="22"/>
  <c r="K13" i="22"/>
  <c r="J13" i="22"/>
  <c r="I13" i="22"/>
  <c r="H13" i="22"/>
  <c r="G13" i="22"/>
  <c r="F13" i="22"/>
  <c r="E13" i="22"/>
  <c r="D13" i="22" s="1"/>
  <c r="R12" i="22"/>
  <c r="Q12" i="22"/>
  <c r="P12" i="22"/>
  <c r="O12" i="22"/>
  <c r="N12" i="22"/>
  <c r="M12" i="22"/>
  <c r="L12" i="22"/>
  <c r="K12" i="22"/>
  <c r="J12" i="22"/>
  <c r="I12" i="22"/>
  <c r="H12" i="22"/>
  <c r="G12" i="22"/>
  <c r="F12" i="22"/>
  <c r="E12" i="22"/>
  <c r="D12" i="22" s="1"/>
  <c r="R11" i="22"/>
  <c r="Q11" i="22"/>
  <c r="P11" i="22"/>
  <c r="O11" i="22"/>
  <c r="N11" i="22"/>
  <c r="M11" i="22"/>
  <c r="L11" i="22"/>
  <c r="K11" i="22"/>
  <c r="J11" i="22"/>
  <c r="I11" i="22"/>
  <c r="H11" i="22"/>
  <c r="G11" i="22"/>
  <c r="F11" i="22"/>
  <c r="E11" i="22"/>
  <c r="D11" i="22" s="1"/>
  <c r="R10" i="22"/>
  <c r="Q10" i="22"/>
  <c r="P10" i="22"/>
  <c r="O10" i="22"/>
  <c r="N10" i="22"/>
  <c r="M10" i="22"/>
  <c r="L10" i="22"/>
  <c r="K10" i="22"/>
  <c r="J10" i="22"/>
  <c r="I10" i="22"/>
  <c r="H10" i="22"/>
  <c r="G10" i="22"/>
  <c r="F10" i="22"/>
  <c r="E10" i="22"/>
  <c r="D10" i="22" s="1"/>
  <c r="R9" i="22"/>
  <c r="Q9" i="22"/>
  <c r="P9" i="22"/>
  <c r="O9" i="22"/>
  <c r="N9" i="22"/>
  <c r="M9" i="22"/>
  <c r="L9" i="22"/>
  <c r="K9" i="22"/>
  <c r="J9" i="22"/>
  <c r="I9" i="22"/>
  <c r="H9" i="22"/>
  <c r="G9" i="22"/>
  <c r="F9" i="22"/>
  <c r="E9" i="22"/>
  <c r="D9" i="22" s="1"/>
  <c r="R8" i="22"/>
  <c r="Q8" i="22"/>
  <c r="P8" i="22"/>
  <c r="O8" i="22"/>
  <c r="N8" i="22"/>
  <c r="M8" i="22"/>
  <c r="L8" i="22"/>
  <c r="K8" i="22"/>
  <c r="J8" i="22"/>
  <c r="I8" i="22"/>
  <c r="H8" i="22"/>
  <c r="G8" i="22"/>
  <c r="F8" i="22"/>
  <c r="E8" i="22"/>
  <c r="D8" i="22" s="1"/>
  <c r="R7" i="22"/>
  <c r="Q7" i="22"/>
  <c r="P7" i="22"/>
  <c r="O7" i="22"/>
  <c r="N7" i="22"/>
  <c r="M7" i="22"/>
  <c r="L7" i="22"/>
  <c r="K7" i="22"/>
  <c r="J7" i="22"/>
  <c r="I7" i="22"/>
  <c r="H7" i="22"/>
  <c r="G7" i="22"/>
  <c r="F7" i="22"/>
  <c r="E7" i="22"/>
  <c r="D7" i="22" s="1"/>
  <c r="R6" i="22"/>
  <c r="Q6" i="22"/>
  <c r="P6" i="22"/>
  <c r="O6" i="22"/>
  <c r="N6" i="22"/>
  <c r="M6" i="22"/>
  <c r="L6" i="22"/>
  <c r="K6" i="22"/>
  <c r="J6" i="22"/>
  <c r="I6" i="22"/>
  <c r="H6" i="22"/>
  <c r="G6" i="22"/>
  <c r="F6" i="22"/>
  <c r="E6" i="22"/>
  <c r="D6" i="22"/>
  <c r="R5" i="22"/>
  <c r="Q5" i="22"/>
  <c r="P5" i="22"/>
  <c r="O5" i="22"/>
  <c r="N5" i="22"/>
  <c r="M5" i="22"/>
  <c r="L5" i="22"/>
  <c r="K5" i="22"/>
  <c r="J5" i="22"/>
  <c r="I5" i="22"/>
  <c r="H5" i="22"/>
  <c r="G5" i="22"/>
  <c r="F5" i="22"/>
  <c r="E5" i="22"/>
  <c r="D5" i="22" s="1"/>
  <c r="R4" i="22"/>
  <c r="Q4" i="22"/>
  <c r="P4" i="22"/>
  <c r="O4" i="22"/>
  <c r="N4" i="22"/>
  <c r="M4" i="22"/>
  <c r="L4" i="22"/>
  <c r="K4" i="22"/>
  <c r="J4" i="22"/>
  <c r="I4" i="22"/>
  <c r="H4" i="22"/>
  <c r="G4" i="22"/>
  <c r="F4" i="22"/>
  <c r="E4" i="22"/>
  <c r="D4" i="22" s="1"/>
  <c r="R3" i="22"/>
  <c r="Q3" i="22"/>
  <c r="P3" i="22"/>
  <c r="O3" i="22"/>
  <c r="N3" i="22"/>
  <c r="M3" i="22"/>
  <c r="L3" i="22"/>
  <c r="K3" i="22"/>
  <c r="J3" i="22"/>
  <c r="I3" i="22"/>
  <c r="H3" i="22"/>
  <c r="G3" i="22"/>
  <c r="F3" i="22"/>
  <c r="E3" i="22"/>
  <c r="D3" i="22"/>
  <c r="R2" i="22"/>
  <c r="Q2" i="22"/>
  <c r="P2" i="22"/>
  <c r="O2" i="22"/>
  <c r="N2" i="22"/>
  <c r="M2" i="22"/>
  <c r="L2" i="22"/>
  <c r="K2" i="22"/>
  <c r="J2" i="22"/>
  <c r="I2" i="22"/>
  <c r="H2" i="22"/>
  <c r="G2" i="22"/>
  <c r="F2" i="22"/>
  <c r="E2" i="22"/>
  <c r="AE19" i="19"/>
  <c r="AD19" i="19"/>
  <c r="AC19" i="19"/>
  <c r="AB19" i="19"/>
  <c r="AA19" i="19"/>
  <c r="Z19" i="19"/>
  <c r="Y19" i="19"/>
  <c r="X19" i="19"/>
  <c r="W19" i="19"/>
  <c r="V19" i="19"/>
  <c r="AE18" i="19"/>
  <c r="AD18" i="19"/>
  <c r="AC18" i="19"/>
  <c r="AB18" i="19"/>
  <c r="AA18" i="19"/>
  <c r="Z18" i="19"/>
  <c r="Y18" i="19"/>
  <c r="X18" i="19"/>
  <c r="W18" i="19"/>
  <c r="V18" i="19"/>
  <c r="AE17" i="19"/>
  <c r="AD17" i="19"/>
  <c r="AC17" i="19"/>
  <c r="AB17" i="19"/>
  <c r="AA17" i="19"/>
  <c r="Z17" i="19"/>
  <c r="Y17" i="19"/>
  <c r="X17" i="19"/>
  <c r="W17" i="19"/>
  <c r="V17" i="19"/>
  <c r="AE16" i="19"/>
  <c r="AD16" i="19"/>
  <c r="AC16" i="19"/>
  <c r="AB16" i="19"/>
  <c r="AA16" i="19"/>
  <c r="Z16" i="19"/>
  <c r="Y16" i="19"/>
  <c r="X16" i="19"/>
  <c r="W16" i="19"/>
  <c r="V16" i="19"/>
  <c r="AE15" i="19"/>
  <c r="AD15" i="19"/>
  <c r="AC15" i="19"/>
  <c r="AB15" i="19"/>
  <c r="AA15" i="19"/>
  <c r="Z15" i="19"/>
  <c r="Y15" i="19"/>
  <c r="X15" i="19"/>
  <c r="W15" i="19"/>
  <c r="V15" i="19"/>
  <c r="AE14" i="19"/>
  <c r="AD14" i="19"/>
  <c r="AC14" i="19"/>
  <c r="AB14" i="19"/>
  <c r="AA14" i="19"/>
  <c r="Z14" i="19"/>
  <c r="Y14" i="19"/>
  <c r="X14" i="19"/>
  <c r="W14" i="19"/>
  <c r="V14" i="19"/>
  <c r="AE13" i="19"/>
  <c r="AD13" i="19"/>
  <c r="AC13" i="19"/>
  <c r="AB13" i="19"/>
  <c r="AA13" i="19"/>
  <c r="Z13" i="19"/>
  <c r="Y13" i="19"/>
  <c r="X13" i="19"/>
  <c r="W13" i="19"/>
  <c r="V13" i="19"/>
  <c r="AE12" i="19"/>
  <c r="AD12" i="19"/>
  <c r="AC12" i="19"/>
  <c r="AB12" i="19"/>
  <c r="AA12" i="19"/>
  <c r="Z12" i="19"/>
  <c r="Y12" i="19"/>
  <c r="X12" i="19"/>
  <c r="W12" i="19"/>
  <c r="V12" i="19"/>
  <c r="AE11" i="19"/>
  <c r="AD11" i="19"/>
  <c r="AC11" i="19"/>
  <c r="AB11" i="19"/>
  <c r="AA11" i="19"/>
  <c r="Z11" i="19"/>
  <c r="Y11" i="19"/>
  <c r="X11" i="19"/>
  <c r="W11" i="19"/>
  <c r="V11" i="19"/>
  <c r="AE10" i="19"/>
  <c r="AD10" i="19"/>
  <c r="AC10" i="19"/>
  <c r="AB10" i="19"/>
  <c r="AA10" i="19"/>
  <c r="Z10" i="19"/>
  <c r="Y10" i="19"/>
  <c r="X10" i="19"/>
  <c r="W10" i="19"/>
  <c r="V10" i="19"/>
  <c r="AE9" i="19"/>
  <c r="AD9" i="19"/>
  <c r="AC9" i="19"/>
  <c r="AB9" i="19"/>
  <c r="AA9" i="19"/>
  <c r="Z9" i="19"/>
  <c r="Y9" i="19"/>
  <c r="X9" i="19"/>
  <c r="W9" i="19"/>
  <c r="V9" i="19"/>
  <c r="AE8" i="19"/>
  <c r="AD8" i="19"/>
  <c r="AC8" i="19"/>
  <c r="AB8" i="19"/>
  <c r="AA8" i="19"/>
  <c r="Z8" i="19"/>
  <c r="Y8" i="19"/>
  <c r="X8" i="19"/>
  <c r="W8" i="19"/>
  <c r="V8" i="19"/>
  <c r="AE7" i="19"/>
  <c r="AD7" i="19"/>
  <c r="AC7" i="19"/>
  <c r="AB7" i="19"/>
  <c r="AA7" i="19"/>
  <c r="Z7" i="19"/>
  <c r="Y7" i="19"/>
  <c r="X7" i="19"/>
  <c r="W7" i="19"/>
  <c r="V7" i="19"/>
  <c r="AE6" i="19"/>
  <c r="AD6" i="19"/>
  <c r="AC6" i="19"/>
  <c r="AB6" i="19"/>
  <c r="AA6" i="19"/>
  <c r="Z6" i="19"/>
  <c r="Y6" i="19"/>
  <c r="X6" i="19"/>
  <c r="W6" i="19"/>
  <c r="V6" i="19"/>
  <c r="AE5" i="19"/>
  <c r="AD5" i="19"/>
  <c r="AC5" i="19"/>
  <c r="AB5" i="19"/>
  <c r="AA5" i="19"/>
  <c r="Z5" i="19"/>
  <c r="Y5" i="19"/>
  <c r="X5" i="19"/>
  <c r="W5" i="19"/>
  <c r="V5" i="19"/>
  <c r="AE4" i="19"/>
  <c r="AD4" i="19"/>
  <c r="AC4" i="19"/>
  <c r="AB4" i="19"/>
  <c r="AA4" i="19"/>
  <c r="Z4" i="19"/>
  <c r="Y4" i="19"/>
  <c r="X4" i="19"/>
  <c r="W4" i="19"/>
  <c r="V4" i="19"/>
  <c r="AE3" i="19"/>
  <c r="AD3" i="19"/>
  <c r="AC3" i="19"/>
  <c r="AB3" i="19"/>
  <c r="AA3" i="19"/>
  <c r="Z3" i="19"/>
  <c r="Y3" i="19"/>
  <c r="X3" i="19"/>
  <c r="W3" i="19"/>
  <c r="V3" i="19"/>
  <c r="AE2" i="19"/>
  <c r="AD2" i="19"/>
  <c r="AC2" i="19"/>
  <c r="AB2" i="19"/>
  <c r="AA2" i="19"/>
  <c r="Z2" i="19"/>
  <c r="Y2" i="19"/>
  <c r="X2" i="19"/>
  <c r="W2" i="19"/>
  <c r="V2" i="19"/>
  <c r="R14" i="19"/>
  <c r="Q14" i="19"/>
  <c r="P14" i="19"/>
  <c r="O14" i="19"/>
  <c r="N14" i="19"/>
  <c r="M14" i="19"/>
  <c r="L14" i="19"/>
  <c r="K14" i="19"/>
  <c r="J14" i="19"/>
  <c r="I14" i="19"/>
  <c r="H14" i="19"/>
  <c r="G14" i="19"/>
  <c r="F14" i="19"/>
  <c r="E14" i="19"/>
  <c r="D14" i="19" s="1"/>
  <c r="R13" i="19"/>
  <c r="Q13" i="19"/>
  <c r="P13" i="19"/>
  <c r="O13" i="19"/>
  <c r="N13" i="19"/>
  <c r="M13" i="19"/>
  <c r="L13" i="19"/>
  <c r="K13" i="19"/>
  <c r="J13" i="19"/>
  <c r="I13" i="19"/>
  <c r="H13" i="19"/>
  <c r="G13" i="19"/>
  <c r="F13" i="19"/>
  <c r="E13" i="19"/>
  <c r="D13" i="19" s="1"/>
  <c r="R12" i="19"/>
  <c r="Q12" i="19"/>
  <c r="P12" i="19"/>
  <c r="O12" i="19"/>
  <c r="N12" i="19"/>
  <c r="M12" i="19"/>
  <c r="L12" i="19"/>
  <c r="K12" i="19"/>
  <c r="J12" i="19"/>
  <c r="I12" i="19"/>
  <c r="H12" i="19"/>
  <c r="G12" i="19"/>
  <c r="F12" i="19"/>
  <c r="E12" i="19"/>
  <c r="D12" i="19" s="1"/>
  <c r="R11" i="19"/>
  <c r="Q11" i="19"/>
  <c r="P11" i="19"/>
  <c r="O11" i="19"/>
  <c r="N11" i="19"/>
  <c r="M11" i="19"/>
  <c r="L11" i="19"/>
  <c r="K11" i="19"/>
  <c r="J11" i="19"/>
  <c r="I11" i="19"/>
  <c r="H11" i="19"/>
  <c r="G11" i="19"/>
  <c r="F11" i="19"/>
  <c r="E11" i="19"/>
  <c r="D11" i="19"/>
  <c r="R10" i="19"/>
  <c r="Q10" i="19"/>
  <c r="P10" i="19"/>
  <c r="O10" i="19"/>
  <c r="N10" i="19"/>
  <c r="M10" i="19"/>
  <c r="L10" i="19"/>
  <c r="K10" i="19"/>
  <c r="J10" i="19"/>
  <c r="I10" i="19"/>
  <c r="H10" i="19"/>
  <c r="G10" i="19"/>
  <c r="F10" i="19"/>
  <c r="E10" i="19"/>
  <c r="D10" i="19" s="1"/>
  <c r="R9" i="19"/>
  <c r="Q9" i="19"/>
  <c r="P9" i="19"/>
  <c r="O9" i="19"/>
  <c r="N9" i="19"/>
  <c r="M9" i="19"/>
  <c r="L9" i="19"/>
  <c r="K9" i="19"/>
  <c r="J9" i="19"/>
  <c r="I9" i="19"/>
  <c r="H9" i="19"/>
  <c r="G9" i="19"/>
  <c r="F9" i="19"/>
  <c r="E9" i="19"/>
  <c r="D9" i="19" s="1"/>
  <c r="R8" i="19"/>
  <c r="Q8" i="19"/>
  <c r="P8" i="19"/>
  <c r="O8" i="19"/>
  <c r="N8" i="19"/>
  <c r="M8" i="19"/>
  <c r="L8" i="19"/>
  <c r="K8" i="19"/>
  <c r="J8" i="19"/>
  <c r="I8" i="19"/>
  <c r="H8" i="19"/>
  <c r="G8" i="19"/>
  <c r="F8" i="19"/>
  <c r="E8" i="19"/>
  <c r="D8" i="19" s="1"/>
  <c r="R7" i="19"/>
  <c r="Q7" i="19"/>
  <c r="P7" i="19"/>
  <c r="O7" i="19"/>
  <c r="N7" i="19"/>
  <c r="M7" i="19"/>
  <c r="L7" i="19"/>
  <c r="K7" i="19"/>
  <c r="J7" i="19"/>
  <c r="I7" i="19"/>
  <c r="H7" i="19"/>
  <c r="G7" i="19"/>
  <c r="F7" i="19"/>
  <c r="E7" i="19"/>
  <c r="D7" i="19" s="1"/>
  <c r="R6" i="19"/>
  <c r="Q6" i="19"/>
  <c r="P6" i="19"/>
  <c r="O6" i="19"/>
  <c r="N6" i="19"/>
  <c r="M6" i="19"/>
  <c r="L6" i="19"/>
  <c r="K6" i="19"/>
  <c r="J6" i="19"/>
  <c r="I6" i="19"/>
  <c r="H6" i="19"/>
  <c r="G6" i="19"/>
  <c r="F6" i="19"/>
  <c r="E6" i="19"/>
  <c r="D6" i="19" s="1"/>
  <c r="R5" i="19"/>
  <c r="Q5" i="19"/>
  <c r="P5" i="19"/>
  <c r="O5" i="19"/>
  <c r="N5" i="19"/>
  <c r="M5" i="19"/>
  <c r="L5" i="19"/>
  <c r="K5" i="19"/>
  <c r="J5" i="19"/>
  <c r="I5" i="19"/>
  <c r="H5" i="19"/>
  <c r="G5" i="19"/>
  <c r="F5" i="19"/>
  <c r="E5" i="19"/>
  <c r="D5" i="19" s="1"/>
  <c r="R4" i="19"/>
  <c r="Q4" i="19"/>
  <c r="P4" i="19"/>
  <c r="O4" i="19"/>
  <c r="N4" i="19"/>
  <c r="M4" i="19"/>
  <c r="L4" i="19"/>
  <c r="K4" i="19"/>
  <c r="J4" i="19"/>
  <c r="I4" i="19"/>
  <c r="H4" i="19"/>
  <c r="G4" i="19"/>
  <c r="F4" i="19"/>
  <c r="E4" i="19"/>
  <c r="D4" i="19" s="1"/>
  <c r="R3" i="19"/>
  <c r="Q3" i="19"/>
  <c r="P3" i="19"/>
  <c r="O3" i="19"/>
  <c r="N3" i="19"/>
  <c r="M3" i="19"/>
  <c r="L3" i="19"/>
  <c r="K3" i="19"/>
  <c r="J3" i="19"/>
  <c r="I3" i="19"/>
  <c r="H3" i="19"/>
  <c r="G3" i="19"/>
  <c r="F3" i="19"/>
  <c r="E3" i="19"/>
  <c r="D3" i="19"/>
  <c r="R2" i="19"/>
  <c r="Q2" i="19"/>
  <c r="P2" i="19"/>
  <c r="O2" i="19"/>
  <c r="N2" i="19"/>
  <c r="M2" i="19"/>
  <c r="L2" i="19"/>
  <c r="K2" i="19"/>
  <c r="J2" i="19"/>
  <c r="I2" i="19"/>
  <c r="H2" i="19"/>
  <c r="G2" i="19"/>
  <c r="F2" i="19"/>
  <c r="F2" i="10"/>
  <c r="G2" i="10"/>
  <c r="H2" i="10"/>
  <c r="E3" i="10"/>
  <c r="D3" i="10" s="1"/>
  <c r="E4" i="10"/>
  <c r="D4" i="10" s="1"/>
  <c r="E5" i="10"/>
  <c r="D5" i="10" s="1"/>
  <c r="E6" i="10"/>
  <c r="D6" i="10" s="1"/>
  <c r="E7" i="10"/>
  <c r="D7" i="10" s="1"/>
  <c r="E8" i="10"/>
  <c r="D8" i="10" s="1"/>
  <c r="E9" i="10"/>
  <c r="D9" i="10" s="1"/>
  <c r="R21" i="10"/>
  <c r="Q21" i="10"/>
  <c r="P21" i="10"/>
  <c r="O21" i="10"/>
  <c r="N21" i="10"/>
  <c r="M21" i="10"/>
  <c r="L21" i="10"/>
  <c r="K21" i="10"/>
  <c r="J21" i="10"/>
  <c r="I21" i="10"/>
  <c r="H21" i="10"/>
  <c r="G21" i="10"/>
  <c r="F21" i="10"/>
  <c r="R20" i="10"/>
  <c r="Q20" i="10"/>
  <c r="P20" i="10"/>
  <c r="O20" i="10"/>
  <c r="N20" i="10"/>
  <c r="M20" i="10"/>
  <c r="L20" i="10"/>
  <c r="K20" i="10"/>
  <c r="J20" i="10"/>
  <c r="I20" i="10"/>
  <c r="H20" i="10"/>
  <c r="G20" i="10"/>
  <c r="F20" i="10"/>
  <c r="R19" i="10"/>
  <c r="Q19" i="10"/>
  <c r="P19" i="10"/>
  <c r="O19" i="10"/>
  <c r="N19" i="10"/>
  <c r="M19" i="10"/>
  <c r="L19" i="10"/>
  <c r="K19" i="10"/>
  <c r="J19" i="10"/>
  <c r="I19" i="10"/>
  <c r="H19" i="10"/>
  <c r="G19" i="10"/>
  <c r="F19" i="10"/>
  <c r="R18" i="10"/>
  <c r="Q18" i="10"/>
  <c r="P18" i="10"/>
  <c r="O18" i="10"/>
  <c r="N18" i="10"/>
  <c r="M18" i="10"/>
  <c r="L18" i="10"/>
  <c r="K18" i="10"/>
  <c r="J18" i="10"/>
  <c r="I18" i="10"/>
  <c r="H18" i="10"/>
  <c r="G18" i="10"/>
  <c r="F18" i="10"/>
  <c r="R17" i="10"/>
  <c r="Q17" i="10"/>
  <c r="P17" i="10"/>
  <c r="O17" i="10"/>
  <c r="N17" i="10"/>
  <c r="M17" i="10"/>
  <c r="L17" i="10"/>
  <c r="K17" i="10"/>
  <c r="J17" i="10"/>
  <c r="I17" i="10"/>
  <c r="H17" i="10"/>
  <c r="G17" i="10"/>
  <c r="F17" i="10"/>
  <c r="R16" i="10"/>
  <c r="Q16" i="10"/>
  <c r="P16" i="10"/>
  <c r="O16" i="10"/>
  <c r="N16" i="10"/>
  <c r="M16" i="10"/>
  <c r="L16" i="10"/>
  <c r="K16" i="10"/>
  <c r="J16" i="10"/>
  <c r="I16" i="10"/>
  <c r="H16" i="10"/>
  <c r="G16" i="10"/>
  <c r="F16" i="10"/>
  <c r="R15" i="10"/>
  <c r="Q15" i="10"/>
  <c r="P15" i="10"/>
  <c r="O15" i="10"/>
  <c r="N15" i="10"/>
  <c r="M15" i="10"/>
  <c r="L15" i="10"/>
  <c r="K15" i="10"/>
  <c r="J15" i="10"/>
  <c r="I15" i="10"/>
  <c r="H15" i="10"/>
  <c r="G15" i="10"/>
  <c r="F15" i="10"/>
  <c r="R14" i="10"/>
  <c r="Q14" i="10"/>
  <c r="P14" i="10"/>
  <c r="O14" i="10"/>
  <c r="N14" i="10"/>
  <c r="M14" i="10"/>
  <c r="L14" i="10"/>
  <c r="K14" i="10"/>
  <c r="J14" i="10"/>
  <c r="I14" i="10"/>
  <c r="H14" i="10"/>
  <c r="G14" i="10"/>
  <c r="F14" i="10"/>
  <c r="R13" i="10"/>
  <c r="Q13" i="10"/>
  <c r="P13" i="10"/>
  <c r="O13" i="10"/>
  <c r="N13" i="10"/>
  <c r="M13" i="10"/>
  <c r="L13" i="10"/>
  <c r="K13" i="10"/>
  <c r="J13" i="10"/>
  <c r="I13" i="10"/>
  <c r="H13" i="10"/>
  <c r="G13" i="10"/>
  <c r="F13" i="10"/>
  <c r="R12" i="10"/>
  <c r="Q12" i="10"/>
  <c r="P12" i="10"/>
  <c r="O12" i="10"/>
  <c r="N12" i="10"/>
  <c r="M12" i="10"/>
  <c r="L12" i="10"/>
  <c r="K12" i="10"/>
  <c r="J12" i="10"/>
  <c r="I12" i="10"/>
  <c r="H12" i="10"/>
  <c r="G12" i="10"/>
  <c r="F12" i="10"/>
  <c r="R11" i="10"/>
  <c r="Q11" i="10"/>
  <c r="P11" i="10"/>
  <c r="O11" i="10"/>
  <c r="N11" i="10"/>
  <c r="M11" i="10"/>
  <c r="L11" i="10"/>
  <c r="K11" i="10"/>
  <c r="J11" i="10"/>
  <c r="I11" i="10"/>
  <c r="H11" i="10"/>
  <c r="G11" i="10"/>
  <c r="F11" i="10"/>
  <c r="R10" i="10"/>
  <c r="Q10" i="10"/>
  <c r="P10" i="10"/>
  <c r="O10" i="10"/>
  <c r="N10" i="10"/>
  <c r="M10" i="10"/>
  <c r="L10" i="10"/>
  <c r="K10" i="10"/>
  <c r="J10" i="10"/>
  <c r="I10" i="10"/>
  <c r="H10" i="10"/>
  <c r="G10" i="10"/>
  <c r="F10" i="10"/>
  <c r="R9" i="10"/>
  <c r="Q9" i="10"/>
  <c r="P9" i="10"/>
  <c r="O9" i="10"/>
  <c r="N9" i="10"/>
  <c r="M9" i="10"/>
  <c r="L9" i="10"/>
  <c r="K9" i="10"/>
  <c r="J9" i="10"/>
  <c r="I9" i="10"/>
  <c r="H9" i="10"/>
  <c r="G9" i="10"/>
  <c r="F9" i="10"/>
  <c r="R8" i="10"/>
  <c r="Q8" i="10"/>
  <c r="P8" i="10"/>
  <c r="O8" i="10"/>
  <c r="N8" i="10"/>
  <c r="M8" i="10"/>
  <c r="L8" i="10"/>
  <c r="K8" i="10"/>
  <c r="J8" i="10"/>
  <c r="I8" i="10"/>
  <c r="H8" i="10"/>
  <c r="G8" i="10"/>
  <c r="F8" i="10"/>
  <c r="R7" i="10"/>
  <c r="Q7" i="10"/>
  <c r="P7" i="10"/>
  <c r="O7" i="10"/>
  <c r="N7" i="10"/>
  <c r="M7" i="10"/>
  <c r="L7" i="10"/>
  <c r="K7" i="10"/>
  <c r="J7" i="10"/>
  <c r="I7" i="10"/>
  <c r="H7" i="10"/>
  <c r="G7" i="10"/>
  <c r="F7" i="10"/>
  <c r="R6" i="10"/>
  <c r="Q6" i="10"/>
  <c r="P6" i="10"/>
  <c r="O6" i="10"/>
  <c r="N6" i="10"/>
  <c r="M6" i="10"/>
  <c r="L6" i="10"/>
  <c r="K6" i="10"/>
  <c r="J6" i="10"/>
  <c r="I6" i="10"/>
  <c r="H6" i="10"/>
  <c r="G6" i="10"/>
  <c r="F6" i="10"/>
  <c r="R5" i="10"/>
  <c r="Q5" i="10"/>
  <c r="P5" i="10"/>
  <c r="O5" i="10"/>
  <c r="N5" i="10"/>
  <c r="M5" i="10"/>
  <c r="L5" i="10"/>
  <c r="K5" i="10"/>
  <c r="J5" i="10"/>
  <c r="I5" i="10"/>
  <c r="H5" i="10"/>
  <c r="G5" i="10"/>
  <c r="F5" i="10"/>
  <c r="R4" i="10"/>
  <c r="Q4" i="10"/>
  <c r="P4" i="10"/>
  <c r="O4" i="10"/>
  <c r="N4" i="10"/>
  <c r="M4" i="10"/>
  <c r="L4" i="10"/>
  <c r="K4" i="10"/>
  <c r="J4" i="10"/>
  <c r="I4" i="10"/>
  <c r="H4" i="10"/>
  <c r="G4" i="10"/>
  <c r="F4" i="10"/>
  <c r="R3" i="10"/>
  <c r="Q3" i="10"/>
  <c r="P3" i="10"/>
  <c r="O3" i="10"/>
  <c r="N3" i="10"/>
  <c r="M3" i="10"/>
  <c r="L3" i="10"/>
  <c r="K3" i="10"/>
  <c r="J3" i="10"/>
  <c r="I3" i="10"/>
  <c r="H3" i="10"/>
  <c r="G3" i="10"/>
  <c r="F3" i="10"/>
  <c r="A3" i="17"/>
  <c r="E2" i="10"/>
  <c r="E2" i="19"/>
  <c r="D4" i="21"/>
  <c r="A4" i="21"/>
  <c r="A3" i="21"/>
  <c r="P21" i="21"/>
  <c r="C4" i="21" s="1"/>
  <c r="P22" i="21"/>
  <c r="P23" i="21"/>
  <c r="E4" i="21" s="1"/>
  <c r="P20" i="21"/>
  <c r="B4" i="21" s="1"/>
  <c r="K21" i="21"/>
  <c r="C3" i="21" s="1"/>
  <c r="K20" i="21"/>
  <c r="B3" i="21" s="1"/>
  <c r="O23" i="21"/>
  <c r="J21" i="21"/>
  <c r="J22" i="21"/>
  <c r="J23" i="21"/>
  <c r="J20" i="21"/>
  <c r="J24" i="21" s="1"/>
  <c r="O10" i="21"/>
  <c r="O11" i="21"/>
  <c r="O20" i="21" s="1"/>
  <c r="O12" i="21"/>
  <c r="O21" i="21" s="1"/>
  <c r="O6" i="21"/>
  <c r="K7" i="21"/>
  <c r="K8" i="21"/>
  <c r="K9" i="21"/>
  <c r="K10" i="21"/>
  <c r="K11" i="21"/>
  <c r="K12" i="21"/>
  <c r="K22" i="21" s="1"/>
  <c r="D3" i="21" s="1"/>
  <c r="K13" i="21"/>
  <c r="K23" i="21" s="1"/>
  <c r="E3" i="21" s="1"/>
  <c r="K14" i="21"/>
  <c r="K15" i="21"/>
  <c r="K6" i="21"/>
  <c r="J16" i="21"/>
  <c r="P13" i="21"/>
  <c r="O7" i="21" s="1"/>
  <c r="N3" i="21"/>
  <c r="U35" i="21"/>
  <c r="T35" i="21"/>
  <c r="S35" i="21"/>
  <c r="R35" i="21"/>
  <c r="Q35" i="21"/>
  <c r="P35" i="21"/>
  <c r="O35" i="21"/>
  <c r="N35" i="21"/>
  <c r="M35" i="21"/>
  <c r="L35" i="21"/>
  <c r="K35" i="21"/>
  <c r="J35" i="21"/>
  <c r="I35" i="21"/>
  <c r="H35" i="21"/>
  <c r="G35" i="21" s="1"/>
  <c r="U34" i="21"/>
  <c r="T34" i="21"/>
  <c r="S34" i="21"/>
  <c r="R34" i="21"/>
  <c r="Q34" i="21"/>
  <c r="P34" i="21"/>
  <c r="O34" i="21"/>
  <c r="N34" i="21"/>
  <c r="M34" i="21"/>
  <c r="L34" i="21"/>
  <c r="K34" i="21"/>
  <c r="J34" i="21"/>
  <c r="I34" i="21"/>
  <c r="H34" i="21"/>
  <c r="G34" i="21" s="1"/>
  <c r="U33" i="21"/>
  <c r="T33" i="21"/>
  <c r="S33" i="21"/>
  <c r="R33" i="21"/>
  <c r="Q33" i="21"/>
  <c r="P33" i="21"/>
  <c r="O33" i="21"/>
  <c r="N33" i="21"/>
  <c r="M33" i="21"/>
  <c r="L33" i="21"/>
  <c r="K33" i="21"/>
  <c r="J33" i="21"/>
  <c r="I33" i="21"/>
  <c r="H33" i="21"/>
  <c r="G33" i="21" s="1"/>
  <c r="U32" i="21"/>
  <c r="T32" i="21"/>
  <c r="S32" i="21"/>
  <c r="R32" i="21"/>
  <c r="Q32" i="21"/>
  <c r="P32" i="21"/>
  <c r="O32" i="21"/>
  <c r="N32" i="21"/>
  <c r="M32" i="21"/>
  <c r="L32" i="21"/>
  <c r="K32" i="21"/>
  <c r="J32" i="21"/>
  <c r="I32" i="21"/>
  <c r="H32" i="21"/>
  <c r="G32" i="21" s="1"/>
  <c r="U31" i="21"/>
  <c r="T31" i="21"/>
  <c r="S31" i="21"/>
  <c r="R31" i="21"/>
  <c r="Q31" i="21"/>
  <c r="P31" i="21"/>
  <c r="O31" i="21"/>
  <c r="N31" i="21"/>
  <c r="M31" i="21"/>
  <c r="L31" i="21"/>
  <c r="K31" i="21"/>
  <c r="J31" i="21"/>
  <c r="I31" i="21"/>
  <c r="H31" i="21"/>
  <c r="G31" i="21"/>
  <c r="U30" i="21"/>
  <c r="T30" i="21"/>
  <c r="S30" i="21"/>
  <c r="R30" i="21"/>
  <c r="Q30" i="21"/>
  <c r="P30" i="21"/>
  <c r="O30" i="21"/>
  <c r="N30" i="21"/>
  <c r="M30" i="21"/>
  <c r="L30" i="21"/>
  <c r="K30" i="21"/>
  <c r="J30" i="21"/>
  <c r="I30" i="21"/>
  <c r="H30" i="21"/>
  <c r="G30" i="21"/>
  <c r="U29" i="21"/>
  <c r="T29" i="21"/>
  <c r="S29" i="21"/>
  <c r="R29" i="21"/>
  <c r="Q29" i="21"/>
  <c r="P29" i="21"/>
  <c r="O29" i="21"/>
  <c r="N29" i="21"/>
  <c r="M29" i="21"/>
  <c r="L29" i="21"/>
  <c r="K29" i="21"/>
  <c r="J29" i="21"/>
  <c r="I29" i="21"/>
  <c r="H29" i="21"/>
  <c r="G29" i="21" s="1"/>
  <c r="U28" i="21"/>
  <c r="T28" i="21"/>
  <c r="S28" i="21"/>
  <c r="R28" i="21"/>
  <c r="Q28" i="21"/>
  <c r="P28" i="21"/>
  <c r="O28" i="21"/>
  <c r="N28" i="21"/>
  <c r="M28" i="21"/>
  <c r="L28" i="21"/>
  <c r="K28" i="21"/>
  <c r="J28" i="21"/>
  <c r="I28" i="21"/>
  <c r="H28" i="21"/>
  <c r="H29" i="20"/>
  <c r="G29" i="20" s="1"/>
  <c r="I29" i="20"/>
  <c r="J29" i="20"/>
  <c r="K29" i="20"/>
  <c r="L29" i="20"/>
  <c r="M29" i="20"/>
  <c r="N29" i="20"/>
  <c r="O29" i="20"/>
  <c r="P29" i="20"/>
  <c r="Q29" i="20"/>
  <c r="R29" i="20"/>
  <c r="S29" i="20"/>
  <c r="T29" i="20"/>
  <c r="U29" i="20"/>
  <c r="H30" i="20"/>
  <c r="G30" i="20" s="1"/>
  <c r="I30" i="20"/>
  <c r="J30" i="20"/>
  <c r="K30" i="20"/>
  <c r="L30" i="20"/>
  <c r="M30" i="20"/>
  <c r="N30" i="20"/>
  <c r="O30" i="20"/>
  <c r="P30" i="20"/>
  <c r="Q30" i="20"/>
  <c r="R30" i="20"/>
  <c r="S30" i="20"/>
  <c r="T30" i="20"/>
  <c r="U30" i="20"/>
  <c r="H31" i="20"/>
  <c r="G31" i="20" s="1"/>
  <c r="I31" i="20"/>
  <c r="J31" i="20"/>
  <c r="K31" i="20"/>
  <c r="L31" i="20"/>
  <c r="M31" i="20"/>
  <c r="N31" i="20"/>
  <c r="O31" i="20"/>
  <c r="P31" i="20"/>
  <c r="Q31" i="20"/>
  <c r="R31" i="20"/>
  <c r="S31" i="20"/>
  <c r="T31" i="20"/>
  <c r="U31" i="20"/>
  <c r="H32" i="20"/>
  <c r="G32" i="20"/>
  <c r="I32" i="20"/>
  <c r="J32" i="20"/>
  <c r="K32" i="20"/>
  <c r="L32" i="20"/>
  <c r="M32" i="20"/>
  <c r="N32" i="20"/>
  <c r="O32" i="20"/>
  <c r="P32" i="20"/>
  <c r="Q32" i="20"/>
  <c r="R32" i="20"/>
  <c r="S32" i="20"/>
  <c r="T32" i="20"/>
  <c r="U32" i="20"/>
  <c r="H33" i="20"/>
  <c r="G33" i="20" s="1"/>
  <c r="I33" i="20"/>
  <c r="J33" i="20"/>
  <c r="K33" i="20"/>
  <c r="L33" i="20"/>
  <c r="M33" i="20"/>
  <c r="N33" i="20"/>
  <c r="O33" i="20"/>
  <c r="P33" i="20"/>
  <c r="Q33" i="20"/>
  <c r="R33" i="20"/>
  <c r="S33" i="20"/>
  <c r="T33" i="20"/>
  <c r="U33" i="20"/>
  <c r="H34" i="20"/>
  <c r="G34" i="20"/>
  <c r="I34" i="20"/>
  <c r="J34" i="20"/>
  <c r="K34" i="20"/>
  <c r="L34" i="20"/>
  <c r="M34" i="20"/>
  <c r="N34" i="20"/>
  <c r="O34" i="20"/>
  <c r="P34" i="20"/>
  <c r="Q34" i="20"/>
  <c r="R34" i="20"/>
  <c r="S34" i="20"/>
  <c r="T34" i="20"/>
  <c r="U34" i="20"/>
  <c r="H35" i="20"/>
  <c r="G35" i="20"/>
  <c r="I35" i="20"/>
  <c r="J35" i="20"/>
  <c r="K35" i="20"/>
  <c r="L35" i="20"/>
  <c r="M35" i="20"/>
  <c r="N35" i="20"/>
  <c r="O35" i="20"/>
  <c r="P35" i="20"/>
  <c r="Q35" i="20"/>
  <c r="R35" i="20"/>
  <c r="S35" i="20"/>
  <c r="T35" i="20"/>
  <c r="U35" i="20"/>
  <c r="I28" i="20"/>
  <c r="J28" i="20"/>
  <c r="K28" i="20"/>
  <c r="L28" i="20"/>
  <c r="M28" i="20"/>
  <c r="N28" i="20"/>
  <c r="O28" i="20"/>
  <c r="P28" i="20"/>
  <c r="Q28" i="20"/>
  <c r="R28" i="20"/>
  <c r="S28" i="20"/>
  <c r="T28" i="20"/>
  <c r="U28" i="20"/>
  <c r="H28" i="20"/>
  <c r="J24" i="20"/>
  <c r="K24" i="20"/>
  <c r="J23" i="20"/>
  <c r="K23" i="20" s="1"/>
  <c r="J22" i="20"/>
  <c r="K22" i="20" s="1"/>
  <c r="J21" i="20"/>
  <c r="K21" i="20"/>
  <c r="K18" i="20"/>
  <c r="J18" i="20"/>
  <c r="J17" i="20"/>
  <c r="J16" i="20"/>
  <c r="J15" i="20"/>
  <c r="J14" i="20"/>
  <c r="J13" i="20"/>
  <c r="J12" i="20"/>
  <c r="J11" i="20"/>
  <c r="J10" i="20"/>
  <c r="J9" i="20"/>
  <c r="J8" i="20"/>
  <c r="J7" i="20"/>
  <c r="J6" i="20"/>
  <c r="J7" i="17"/>
  <c r="J8" i="17"/>
  <c r="J9" i="17"/>
  <c r="J10" i="17"/>
  <c r="J11" i="17"/>
  <c r="J12" i="17"/>
  <c r="J13" i="17"/>
  <c r="J14" i="17"/>
  <c r="J15" i="17"/>
  <c r="J16" i="17"/>
  <c r="J6" i="17"/>
  <c r="J23" i="17"/>
  <c r="K23" i="17"/>
  <c r="D3" i="17" s="1"/>
  <c r="J22" i="17"/>
  <c r="J21" i="17"/>
  <c r="K17" i="17"/>
  <c r="U17" i="17" s="1"/>
  <c r="J17" i="17"/>
  <c r="K18" i="17"/>
  <c r="J18" i="17"/>
  <c r="U35" i="17"/>
  <c r="T35" i="17"/>
  <c r="S35" i="17"/>
  <c r="R35" i="17"/>
  <c r="Q35" i="17"/>
  <c r="P35" i="17"/>
  <c r="O35" i="17"/>
  <c r="N35" i="17"/>
  <c r="M35" i="17"/>
  <c r="L35" i="17"/>
  <c r="K35" i="17"/>
  <c r="J35" i="17"/>
  <c r="I35" i="17"/>
  <c r="H35" i="17"/>
  <c r="G35" i="17"/>
  <c r="U34" i="17"/>
  <c r="T34" i="17"/>
  <c r="S34" i="17"/>
  <c r="R34" i="17"/>
  <c r="Q34" i="17"/>
  <c r="P34" i="17"/>
  <c r="O34" i="17"/>
  <c r="N34" i="17"/>
  <c r="M34" i="17"/>
  <c r="L34" i="17"/>
  <c r="K34" i="17"/>
  <c r="J34" i="17"/>
  <c r="I34" i="17"/>
  <c r="H34" i="17"/>
  <c r="G34" i="17"/>
  <c r="U33" i="17"/>
  <c r="T33" i="17"/>
  <c r="S33" i="17"/>
  <c r="R33" i="17"/>
  <c r="Q33" i="17"/>
  <c r="P33" i="17"/>
  <c r="O33" i="17"/>
  <c r="N33" i="17"/>
  <c r="M33" i="17"/>
  <c r="L33" i="17"/>
  <c r="K33" i="17"/>
  <c r="J33" i="17"/>
  <c r="I33" i="17"/>
  <c r="H33" i="17"/>
  <c r="G33" i="17" s="1"/>
  <c r="U32" i="17"/>
  <c r="T32" i="17"/>
  <c r="S32" i="17"/>
  <c r="R32" i="17"/>
  <c r="Q32" i="17"/>
  <c r="P32" i="17"/>
  <c r="O32" i="17"/>
  <c r="N32" i="17"/>
  <c r="M32" i="17"/>
  <c r="L32" i="17"/>
  <c r="K32" i="17"/>
  <c r="J32" i="17"/>
  <c r="I32" i="17"/>
  <c r="H32" i="17"/>
  <c r="G32" i="17" s="1"/>
  <c r="U31" i="17"/>
  <c r="T31" i="17"/>
  <c r="S31" i="17"/>
  <c r="R31" i="17"/>
  <c r="Q31" i="17"/>
  <c r="P31" i="17"/>
  <c r="O31" i="17"/>
  <c r="N31" i="17"/>
  <c r="M31" i="17"/>
  <c r="L31" i="17"/>
  <c r="K31" i="17"/>
  <c r="J31" i="17"/>
  <c r="I31" i="17"/>
  <c r="H31" i="17"/>
  <c r="G31" i="17" s="1"/>
  <c r="U30" i="17"/>
  <c r="T30" i="17"/>
  <c r="S30" i="17"/>
  <c r="R30" i="17"/>
  <c r="Q30" i="17"/>
  <c r="P30" i="17"/>
  <c r="O30" i="17"/>
  <c r="N30" i="17"/>
  <c r="M30" i="17"/>
  <c r="L30" i="17"/>
  <c r="K30" i="17"/>
  <c r="J30" i="17"/>
  <c r="I30" i="17"/>
  <c r="H30" i="17"/>
  <c r="G30" i="17" s="1"/>
  <c r="U29" i="17"/>
  <c r="T29" i="17"/>
  <c r="S29" i="17"/>
  <c r="R29" i="17"/>
  <c r="Q29" i="17"/>
  <c r="P29" i="17"/>
  <c r="O29" i="17"/>
  <c r="N29" i="17"/>
  <c r="M29" i="17"/>
  <c r="L29" i="17"/>
  <c r="K29" i="17"/>
  <c r="J29" i="17"/>
  <c r="I29" i="17"/>
  <c r="H29" i="17"/>
  <c r="G29" i="17" s="1"/>
  <c r="U28" i="17"/>
  <c r="T28" i="17"/>
  <c r="S28" i="17"/>
  <c r="R28" i="17"/>
  <c r="Q28" i="17"/>
  <c r="P28" i="17"/>
  <c r="O28" i="17"/>
  <c r="N28" i="17"/>
  <c r="M28" i="17"/>
  <c r="L28" i="17"/>
  <c r="K28" i="17"/>
  <c r="J28" i="17"/>
  <c r="I28" i="17"/>
  <c r="H28" i="17"/>
  <c r="R2" i="10"/>
  <c r="V3" i="10"/>
  <c r="W3" i="10"/>
  <c r="X3" i="10"/>
  <c r="Y3" i="10"/>
  <c r="Z3" i="10"/>
  <c r="AA3" i="10"/>
  <c r="AB3" i="10"/>
  <c r="AC3" i="10"/>
  <c r="AD3" i="10"/>
  <c r="AE3" i="10"/>
  <c r="V4" i="10"/>
  <c r="W4" i="10"/>
  <c r="X4" i="10"/>
  <c r="Y4" i="10"/>
  <c r="Z4" i="10"/>
  <c r="AA4" i="10"/>
  <c r="AB4" i="10"/>
  <c r="AC4" i="10"/>
  <c r="AD4" i="10"/>
  <c r="AE4" i="10"/>
  <c r="V5" i="10"/>
  <c r="W5" i="10"/>
  <c r="X5" i="10"/>
  <c r="Y5" i="10"/>
  <c r="Z5" i="10"/>
  <c r="AA5" i="10"/>
  <c r="AB5" i="10"/>
  <c r="AC5" i="10"/>
  <c r="AD5" i="10"/>
  <c r="AE5" i="10"/>
  <c r="V6" i="10"/>
  <c r="W6" i="10"/>
  <c r="X6" i="10"/>
  <c r="Y6" i="10"/>
  <c r="Z6" i="10"/>
  <c r="AA6" i="10"/>
  <c r="AB6" i="10"/>
  <c r="AC6" i="10"/>
  <c r="AD6" i="10"/>
  <c r="AE6" i="10"/>
  <c r="V7" i="10"/>
  <c r="W7" i="10"/>
  <c r="X7" i="10"/>
  <c r="Y7" i="10"/>
  <c r="Z7" i="10"/>
  <c r="AA7" i="10"/>
  <c r="AB7" i="10"/>
  <c r="AC7" i="10"/>
  <c r="AD7" i="10"/>
  <c r="AE7" i="10"/>
  <c r="V8" i="10"/>
  <c r="W8" i="10"/>
  <c r="X8" i="10"/>
  <c r="Y8" i="10"/>
  <c r="Z8" i="10"/>
  <c r="AA8" i="10"/>
  <c r="AB8" i="10"/>
  <c r="AC8" i="10"/>
  <c r="AD8" i="10"/>
  <c r="AE8" i="10"/>
  <c r="V9" i="10"/>
  <c r="W9" i="10"/>
  <c r="X9" i="10"/>
  <c r="Y9" i="10"/>
  <c r="Z9" i="10"/>
  <c r="AA9" i="10"/>
  <c r="AB9" i="10"/>
  <c r="AC9" i="10"/>
  <c r="AD9" i="10"/>
  <c r="AE9" i="10"/>
  <c r="V10" i="10"/>
  <c r="W10" i="10"/>
  <c r="X10" i="10"/>
  <c r="Y10" i="10"/>
  <c r="Z10" i="10"/>
  <c r="AA10" i="10"/>
  <c r="AB10" i="10"/>
  <c r="AC10" i="10"/>
  <c r="AD10" i="10"/>
  <c r="AE10" i="10"/>
  <c r="V11" i="10"/>
  <c r="W11" i="10"/>
  <c r="X11" i="10"/>
  <c r="Y11" i="10"/>
  <c r="Z11" i="10"/>
  <c r="AA11" i="10"/>
  <c r="AB11" i="10"/>
  <c r="AC11" i="10"/>
  <c r="AD11" i="10"/>
  <c r="AE11" i="10"/>
  <c r="W2" i="10"/>
  <c r="X2" i="10"/>
  <c r="Y2" i="10"/>
  <c r="Z2" i="10"/>
  <c r="AA2" i="10"/>
  <c r="AB2" i="10"/>
  <c r="AC2" i="10"/>
  <c r="AD2" i="10"/>
  <c r="AE2" i="10"/>
  <c r="V2" i="10"/>
  <c r="E12" i="10"/>
  <c r="D12" i="10" s="1"/>
  <c r="E13" i="10"/>
  <c r="D13" i="10" s="1"/>
  <c r="E14" i="10"/>
  <c r="D14" i="10" s="1"/>
  <c r="E10" i="10"/>
  <c r="D10" i="10" s="1"/>
  <c r="E11" i="10"/>
  <c r="D11" i="10"/>
  <c r="E15" i="10"/>
  <c r="D15" i="10" s="1"/>
  <c r="E16" i="10"/>
  <c r="D16" i="10" s="1"/>
  <c r="E17" i="10"/>
  <c r="D17" i="10" s="1"/>
  <c r="E18" i="10"/>
  <c r="D18" i="10" s="1"/>
  <c r="E19" i="10"/>
  <c r="D19" i="10" s="1"/>
  <c r="E20" i="10"/>
  <c r="D20" i="10" s="1"/>
  <c r="E21" i="10"/>
  <c r="D21" i="10" s="1"/>
  <c r="I2" i="10"/>
  <c r="J2" i="10"/>
  <c r="K2" i="10"/>
  <c r="L2" i="10"/>
  <c r="M2" i="10"/>
  <c r="N2" i="10"/>
  <c r="O2" i="10"/>
  <c r="P2" i="10"/>
  <c r="Q2" i="10"/>
  <c r="F3" i="12"/>
  <c r="F3" i="11"/>
  <c r="F4" i="11"/>
  <c r="AA7" i="23"/>
  <c r="AP9" i="23"/>
  <c r="AP23" i="23" s="1"/>
  <c r="AA22" i="23"/>
  <c r="AA8" i="23"/>
  <c r="AP6" i="23"/>
  <c r="AP20" i="23"/>
  <c r="AB24" i="23"/>
  <c r="M5" i="23" s="1"/>
  <c r="F5" i="23" s="1"/>
  <c r="Q6" i="23"/>
  <c r="W24" i="23"/>
  <c r="M4" i="23" s="1"/>
  <c r="F4" i="23" s="1"/>
  <c r="AV22" i="23"/>
  <c r="K9" i="23"/>
  <c r="D9" i="23" s="1"/>
  <c r="AF7" i="23"/>
  <c r="AA11" i="23"/>
  <c r="AL24" i="23"/>
  <c r="M7" i="23" s="1"/>
  <c r="F7" i="23" s="1"/>
  <c r="AJ3" i="23"/>
  <c r="AK9" i="23"/>
  <c r="AK23" i="23"/>
  <c r="P24" i="21"/>
  <c r="F4" i="21" s="1"/>
  <c r="AH10" i="17"/>
  <c r="U14" i="17" s="1"/>
  <c r="AH11" i="17"/>
  <c r="AH3" i="17"/>
  <c r="U7" i="17" s="1"/>
  <c r="K21" i="17"/>
  <c r="B3" i="17"/>
  <c r="AZ11" i="23"/>
  <c r="D5" i="23"/>
  <c r="F3" i="23"/>
  <c r="D3" i="23"/>
  <c r="J24" i="17" l="1"/>
  <c r="K24" i="17" s="1"/>
  <c r="E3" i="17" s="1"/>
  <c r="AH7" i="17"/>
  <c r="U11" i="17" s="1"/>
  <c r="AF22" i="23"/>
  <c r="K24" i="21"/>
  <c r="F3" i="21" s="1"/>
  <c r="K16" i="21"/>
  <c r="AG4" i="17"/>
  <c r="P8" i="17" s="1"/>
  <c r="AH4" i="17"/>
  <c r="U8" i="17" s="1"/>
  <c r="AF9" i="23"/>
  <c r="AF23" i="23" s="1"/>
  <c r="AE3" i="23"/>
  <c r="AF6" i="23"/>
  <c r="AF8" i="23"/>
  <c r="K22" i="17"/>
  <c r="C3" i="17" s="1"/>
  <c r="J25" i="20"/>
  <c r="K8" i="23"/>
  <c r="D8" i="23" s="1"/>
  <c r="K25" i="20"/>
  <c r="V20" i="23"/>
  <c r="V9" i="23"/>
  <c r="V8" i="23"/>
  <c r="V22" i="23" s="1"/>
  <c r="I6" i="23"/>
  <c r="B6" i="23" s="1"/>
  <c r="AG24" i="23"/>
  <c r="M6" i="23" s="1"/>
  <c r="F6" i="23" s="1"/>
  <c r="D6" i="23"/>
  <c r="AZ24" i="23"/>
  <c r="BA24" i="23" s="1"/>
  <c r="Q20" i="23"/>
  <c r="O22" i="21"/>
  <c r="O24" i="21" s="1"/>
  <c r="AV20" i="23"/>
  <c r="AV13" i="23"/>
  <c r="Q7" i="23"/>
  <c r="Q22" i="23" s="1"/>
  <c r="Q9" i="23"/>
  <c r="Q11" i="23"/>
  <c r="Q21" i="23" s="1"/>
  <c r="Q10" i="23"/>
  <c r="Q23" i="23" s="1"/>
  <c r="Q8" i="23"/>
  <c r="D4" i="23"/>
  <c r="AG10" i="17"/>
  <c r="P14" i="17" s="1"/>
  <c r="P18" i="17" s="1"/>
  <c r="AK8" i="23"/>
  <c r="AK7" i="23"/>
  <c r="O9" i="21"/>
  <c r="AA6" i="23"/>
  <c r="AP7" i="23"/>
  <c r="AP22" i="23" s="1"/>
  <c r="AP24" i="23" s="1"/>
  <c r="O8" i="21"/>
  <c r="O13" i="21" s="1"/>
  <c r="P17" i="17"/>
  <c r="AA10" i="23"/>
  <c r="AA23" i="23" s="1"/>
  <c r="N3" i="17" l="1"/>
  <c r="O18" i="17"/>
  <c r="O9" i="17"/>
  <c r="O16" i="17"/>
  <c r="O15" i="17"/>
  <c r="O10" i="17"/>
  <c r="O13" i="17"/>
  <c r="O7" i="17"/>
  <c r="O12" i="17"/>
  <c r="O11" i="17"/>
  <c r="O6" i="17"/>
  <c r="AA13" i="23"/>
  <c r="AA20" i="23"/>
  <c r="AA24" i="23" s="1"/>
  <c r="K25" i="17"/>
  <c r="F3" i="17" s="1"/>
  <c r="AK22" i="23"/>
  <c r="AK24" i="23" s="1"/>
  <c r="AK13" i="23"/>
  <c r="O14" i="17"/>
  <c r="I9" i="23"/>
  <c r="B9" i="23" s="1"/>
  <c r="AV24" i="23"/>
  <c r="M9" i="23" s="1"/>
  <c r="F9" i="23" s="1"/>
  <c r="AF20" i="23"/>
  <c r="AF24" i="23" s="1"/>
  <c r="AF13" i="23"/>
  <c r="J25" i="17"/>
  <c r="O17" i="17"/>
  <c r="Q16" i="23"/>
  <c r="V13" i="23"/>
  <c r="Q24" i="23"/>
  <c r="V24" i="23"/>
  <c r="O8" i="17"/>
  <c r="O21" i="17" s="1"/>
  <c r="U18" i="17"/>
  <c r="T11" i="17" s="1"/>
  <c r="AP13" i="23"/>
  <c r="T8" i="17" l="1"/>
  <c r="T21" i="17" s="1"/>
  <c r="P21" i="17"/>
  <c r="B4" i="17" s="1"/>
  <c r="O24" i="17"/>
  <c r="P24" i="17" s="1"/>
  <c r="E4" i="17" s="1"/>
  <c r="P23" i="17"/>
  <c r="D4" i="17" s="1"/>
  <c r="P22" i="17"/>
  <c r="C4" i="17" s="1"/>
  <c r="T18" i="17"/>
  <c r="S3" i="17"/>
  <c r="T12" i="17"/>
  <c r="T6" i="17"/>
  <c r="T7" i="17"/>
  <c r="T16" i="17"/>
  <c r="T14" i="17"/>
  <c r="T13" i="17"/>
  <c r="T9" i="17"/>
  <c r="T10" i="17"/>
  <c r="T15" i="17"/>
  <c r="T17" i="17"/>
  <c r="U23" i="17" l="1"/>
  <c r="D5" i="17" s="1"/>
  <c r="U22" i="17"/>
  <c r="C5" i="17" s="1"/>
  <c r="U21" i="17"/>
  <c r="B5" i="17" s="1"/>
  <c r="T24" i="17"/>
  <c r="U24" i="17" s="1"/>
  <c r="E5" i="17" s="1"/>
  <c r="O25" i="17"/>
  <c r="P25" i="17" s="1"/>
  <c r="F4" i="17" s="1"/>
  <c r="T25" i="17" l="1"/>
  <c r="U25" i="17" s="1"/>
  <c r="F5"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Leopold</author>
  </authors>
  <commentList>
    <comment ref="AD6" authorId="0" shapeId="0" xr:uid="{52698D4F-11D2-412B-B952-23C0CF55DC6C}">
      <text>
        <r>
          <rPr>
            <b/>
            <sz val="9"/>
            <color indexed="81"/>
            <rFont val="Tahoma"/>
            <family val="2"/>
          </rPr>
          <t>Leopold:</t>
        </r>
        <r>
          <rPr>
            <sz val="9"/>
            <color indexed="81"/>
            <rFont val="Tahoma"/>
            <family val="2"/>
          </rPr>
          <t xml:space="preserve">
from personal communication</t>
        </r>
      </text>
    </comment>
    <comment ref="AI6" authorId="0" shapeId="0" xr:uid="{599269CA-B2C3-4837-B15D-BE07E92AED2F}">
      <text>
        <r>
          <rPr>
            <b/>
            <sz val="9"/>
            <color indexed="81"/>
            <rFont val="Tahoma"/>
            <family val="2"/>
          </rPr>
          <t>Leopold:</t>
        </r>
        <r>
          <rPr>
            <sz val="9"/>
            <color indexed="81"/>
            <rFont val="Tahoma"/>
            <family val="2"/>
          </rPr>
          <t xml:space="preserve">
from personal communication</t>
        </r>
      </text>
    </comment>
    <comment ref="AD9" authorId="0" shapeId="0" xr:uid="{71069B4D-0512-4F68-A11E-6FFC219B2660}">
      <text>
        <r>
          <rPr>
            <b/>
            <sz val="9"/>
            <color indexed="81"/>
            <rFont val="Tahoma"/>
            <family val="2"/>
          </rPr>
          <t>Leopold:</t>
        </r>
        <r>
          <rPr>
            <sz val="9"/>
            <color indexed="81"/>
            <rFont val="Tahoma"/>
            <family val="2"/>
          </rPr>
          <t xml:space="preserve">
(to match the gap between personal communication and SI values)</t>
        </r>
      </text>
    </comment>
    <comment ref="AI9" authorId="0" shapeId="0" xr:uid="{98B0E110-381B-4C01-A184-1EA2251B0EF4}">
      <text>
        <r>
          <rPr>
            <b/>
            <sz val="9"/>
            <color indexed="81"/>
            <rFont val="Tahoma"/>
            <family val="2"/>
          </rPr>
          <t>Leopold:</t>
        </r>
        <r>
          <rPr>
            <sz val="9"/>
            <color indexed="81"/>
            <rFont val="Tahoma"/>
            <family val="2"/>
          </rPr>
          <t xml:space="preserve">
(to match the gap between personal communication and SI values)</t>
        </r>
      </text>
    </comment>
    <comment ref="A10" authorId="0" shapeId="0" xr:uid="{26D66EE0-C568-47DA-895F-6015EC66F08B}">
      <text>
        <r>
          <rPr>
            <b/>
            <sz val="9"/>
            <color indexed="81"/>
            <rFont val="Tahoma"/>
          </rPr>
          <t>Leopold:</t>
        </r>
        <r>
          <rPr>
            <sz val="9"/>
            <color indexed="81"/>
            <rFont val="Tahoma"/>
          </rPr>
          <t xml:space="preserve">
Bollwein: FU is NiSO4 hexahydrate -&gt; no conversion via metal is needed</t>
        </r>
      </text>
    </comment>
    <comment ref="H30" authorId="0" shapeId="0" xr:uid="{6648CA78-9D64-4FE6-A032-8E5A665CA1CE}">
      <text>
        <r>
          <rPr>
            <b/>
            <sz val="9"/>
            <color indexed="81"/>
            <rFont val="Tahoma"/>
          </rPr>
          <t>Leopold:</t>
        </r>
        <r>
          <rPr>
            <sz val="9"/>
            <color indexed="81"/>
            <rFont val="Tahoma"/>
          </rPr>
          <t xml:space="preserve">
added to "Refinement" group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Leopold</author>
  </authors>
  <commentList>
    <comment ref="E4" authorId="0" shapeId="0" xr:uid="{13479640-F54C-4B0B-882A-FA1F2F579ED3}">
      <text>
        <r>
          <rPr>
            <b/>
            <sz val="9"/>
            <color indexed="81"/>
            <rFont val="Tahoma"/>
          </rPr>
          <t>Leopold:</t>
        </r>
        <r>
          <rPr>
            <sz val="9"/>
            <color indexed="81"/>
            <rFont val="Tahoma"/>
          </rPr>
          <t xml:space="preserve">
Minor change in value to keep Python code operational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Leopold</author>
  </authors>
  <commentList>
    <comment ref="A3" authorId="0" shapeId="0" xr:uid="{862DDD21-4671-4CD4-8C30-6286D24D8D7F}">
      <text>
        <r>
          <rPr>
            <b/>
            <sz val="9"/>
            <color indexed="81"/>
            <rFont val="Tahoma"/>
            <family val="2"/>
          </rPr>
          <t>Leopold:</t>
        </r>
        <r>
          <rPr>
            <sz val="9"/>
            <color indexed="81"/>
            <rFont val="Tahoma"/>
            <family val="2"/>
          </rPr>
          <t xml:space="preserve">
'Not applicable because modelled product (Li2CO3) is already battery grade and does not need further refining</t>
        </r>
      </text>
    </comment>
  </commentList>
</comments>
</file>

<file path=xl/sharedStrings.xml><?xml version="1.0" encoding="utf-8"?>
<sst xmlns="http://schemas.openxmlformats.org/spreadsheetml/2006/main" count="1406" uniqueCount="721">
  <si>
    <t>only brine</t>
  </si>
  <si>
    <t>Fig S1-1: pathway only considers mining and benefication and refining afterwards is extremely coarse (only kiln)</t>
  </si>
  <si>
    <t>Fig 2 but underlying data is (likely) missing?</t>
  </si>
  <si>
    <t>Transportation</t>
  </si>
  <si>
    <t>Leaching</t>
  </si>
  <si>
    <t>Exploitation</t>
  </si>
  <si>
    <t>Transport</t>
  </si>
  <si>
    <t>Roasting</t>
  </si>
  <si>
    <t>Carbonation</t>
  </si>
  <si>
    <t>Drying</t>
  </si>
  <si>
    <t>Other</t>
  </si>
  <si>
    <t>By-product</t>
  </si>
  <si>
    <t>ABS VALUE</t>
  </si>
  <si>
    <t>kg CO2 eq/kg_Li2CO3</t>
  </si>
  <si>
    <t>Jiang,  2020</t>
  </si>
  <si>
    <t>Relative (%)</t>
  </si>
  <si>
    <t>Absolute (kg CO2 eq/kg_Li2CO3)</t>
  </si>
  <si>
    <t>Original name</t>
  </si>
  <si>
    <t>Harmonised name</t>
  </si>
  <si>
    <t>Cacining</t>
  </si>
  <si>
    <t>Public facilities</t>
  </si>
  <si>
    <t>Air separating</t>
  </si>
  <si>
    <t>Mining &amp; Benefication</t>
  </si>
  <si>
    <t>Li2CO3 Production Energy Inputs</t>
  </si>
  <si>
    <t>Na2CO3</t>
  </si>
  <si>
    <t>H2SO4</t>
  </si>
  <si>
    <t>Limestone</t>
  </si>
  <si>
    <t>Sodium hydroxide</t>
  </si>
  <si>
    <t>Spodumene concentrate</t>
  </si>
  <si>
    <t>Kelly, 2021</t>
  </si>
  <si>
    <t>No breakdown into processing steps</t>
  </si>
  <si>
    <t>Refinement</t>
  </si>
  <si>
    <t>TOTAL</t>
  </si>
  <si>
    <t>Phase</t>
  </si>
  <si>
    <t>Full name</t>
  </si>
  <si>
    <t xml:space="preserve"> </t>
  </si>
  <si>
    <t>Crenna et al. (2021)</t>
  </si>
  <si>
    <t>Cobalt Institute (2019)</t>
  </si>
  <si>
    <t>Absolute (kg CO2 eq/kg_CoSO4)</t>
  </si>
  <si>
    <t>Ore mining</t>
  </si>
  <si>
    <t>Mining</t>
  </si>
  <si>
    <t>Refining</t>
  </si>
  <si>
    <t>kg CO2 eq/kg_CoSO4</t>
  </si>
  <si>
    <t>Nickel Institute (2021)</t>
  </si>
  <si>
    <t>Wei et al (2020)</t>
  </si>
  <si>
    <t>Norgate &amp; Rankin (2000)</t>
  </si>
  <si>
    <t>Mistry et al (2016)</t>
  </si>
  <si>
    <t>Norgate and Jahanshahi (2011)</t>
  </si>
  <si>
    <t>kg_CO2e/kg_Ni_metal</t>
  </si>
  <si>
    <t>Absolute (kg_CO2e/kg_Ni_metal)</t>
  </si>
  <si>
    <t>Calcination</t>
  </si>
  <si>
    <t>Smelting</t>
  </si>
  <si>
    <t>Mineral processing</t>
  </si>
  <si>
    <t>Benefication</t>
  </si>
  <si>
    <t>Ore preparation</t>
  </si>
  <si>
    <t>Primary Extraction + Refining</t>
  </si>
  <si>
    <t>Credit for sulphuric acid</t>
  </si>
  <si>
    <t>Non-differentiated (ND)</t>
  </si>
  <si>
    <t>Pyrometallurgical step</t>
  </si>
  <si>
    <t>Refining step</t>
  </si>
  <si>
    <t>Beneficiation</t>
  </si>
  <si>
    <t>Deng &amp; Gong (2018)</t>
  </si>
  <si>
    <t>Benefication and ore preparation</t>
  </si>
  <si>
    <t>Primary extraction</t>
  </si>
  <si>
    <t>GWP (kg_CO2e/kg_NiSO4)</t>
  </si>
  <si>
    <t>Type</t>
  </si>
  <si>
    <t>Literature</t>
  </si>
  <si>
    <t>Report</t>
  </si>
  <si>
    <t>EI 3.9.1 [from cobalt production, GLO]</t>
  </si>
  <si>
    <t>Database</t>
  </si>
  <si>
    <t>EI 3.9.1 [Sulph, CN]</t>
  </si>
  <si>
    <t>EI 3.9.1 [Sulph, GLO]</t>
  </si>
  <si>
    <t>EI 3.9.1 [Sulph, RU]</t>
  </si>
  <si>
    <t>GREET 2022 [Sulph]</t>
  </si>
  <si>
    <t>- Not broken down into steps useful for hydroxide
- Looking at sulfidic Ni-Cu-Co ores and not Cu-Co</t>
  </si>
  <si>
    <t>- Too aggregated pathway and geology
- Exlcusion of China as geography</t>
  </si>
  <si>
    <t xml:space="preserve"> 'market for ammonium carbonate' (kilogram, RoW, None)</t>
  </si>
  <si>
    <t xml:space="preserve"> 'market for cobalt hydroxide' (kilogram, GLO, None)</t>
  </si>
  <si>
    <t xml:space="preserve"> 'market group for electricity, medium voltage' (kilowatt hour, CN, Non</t>
  </si>
  <si>
    <t xml:space="preserve"> 'market for hazardous waste, for incineration' (kilogram, RoW, None)</t>
  </si>
  <si>
    <t xml:space="preserve"> 'market for heat, district or industrial, natural gas' (megajoule, RoW</t>
  </si>
  <si>
    <t xml:space="preserve"> 'market for hydrochloric acid, without water, in 30% solution state' (</t>
  </si>
  <si>
    <t xml:space="preserve"> 'market for sodium hydroxide, without water, in 50% solution state' (k</t>
  </si>
  <si>
    <t xml:space="preserve"> 'market for chemical factory, organics' (unit, GLO, None)</t>
  </si>
  <si>
    <t xml:space="preserve"> 'market for disodium disulphite' (kilogram, GLO, None)</t>
  </si>
  <si>
    <t xml:space="preserve"> 'market for soda ash, dense' (kilogram, GLO, None)</t>
  </si>
  <si>
    <t xml:space="preserve"> 'market for sulfuric acid' (kilogram, RoW, None)</t>
  </si>
  <si>
    <t>Ecoinvent 3.9.1  'cobalt sulfate production' (kilogram, CN, None)</t>
  </si>
  <si>
    <t>GREET 2022 [econ-alloc]</t>
  </si>
  <si>
    <t>Engels</t>
  </si>
  <si>
    <t>Gao</t>
  </si>
  <si>
    <t>Surovsteva</t>
  </si>
  <si>
    <t>GREET v1.3.0.13991 [USA, synthetic]</t>
  </si>
  <si>
    <t>GREET v1.3.0.13991 [China, natural]</t>
  </si>
  <si>
    <t>Ecoinvent Version 3.9.1 [Rest of World, natural]</t>
  </si>
  <si>
    <t>Ecoinvent Version 3.9.1 [China, natural]</t>
  </si>
  <si>
    <t>Ecoinvent Version 3.9.1 [China, synthetic]</t>
  </si>
  <si>
    <t>Ecoinvent Version 3.9.1 [Rest of World, synthetic]</t>
  </si>
  <si>
    <t>Bollwein (2022)</t>
  </si>
  <si>
    <t>- process is Ni-Co-Cu process, where Co is extracted after treating Nickel Matte -&gt; not applicable for Hydroxide pathway where primary extraction already took place</t>
  </si>
  <si>
    <t>Primary Extraction</t>
  </si>
  <si>
    <t>Metal refining</t>
  </si>
  <si>
    <t>Sulfate production</t>
  </si>
  <si>
    <t>Stepwise breakdown of qualifying studies</t>
  </si>
  <si>
    <t>Cobalt Qualified Studies</t>
  </si>
  <si>
    <t>Used in figure?</t>
  </si>
  <si>
    <t>Ecoinvent</t>
  </si>
  <si>
    <t>PYTHON IMPORT COLUMNS</t>
  </si>
  <si>
    <t>GWP (kg_CO2e/kg_CoSO4)</t>
  </si>
  <si>
    <t>Exclusion Rationale</t>
  </si>
  <si>
    <t>Used for breakdown?</t>
  </si>
  <si>
    <t>database values excluded (if possible) by research design</t>
  </si>
  <si>
    <t>Inclusion</t>
  </si>
  <si>
    <t>Inclusion - Co concentrate</t>
  </si>
  <si>
    <t>INDIRECT</t>
  </si>
  <si>
    <t>Study is basis for ecoinvent activity</t>
  </si>
  <si>
    <t>pathway not via hydroxide</t>
  </si>
  <si>
    <t>Only useful source for hydroxide pathway</t>
  </si>
  <si>
    <t>TOTAL (kg_CO2e/kg_CoSO4)</t>
  </si>
  <si>
    <t>Schenker et al. [Brine, CL] (2022)</t>
  </si>
  <si>
    <t>Schenker et al. [Brine, AG] (2022)</t>
  </si>
  <si>
    <t>Schenker et al. [Brine, CN] (2022)</t>
  </si>
  <si>
    <t>Ambrose et al. [HG peg] (2019)</t>
  </si>
  <si>
    <t>Ambrose et al. [LG peg] (2019)</t>
  </si>
  <si>
    <t>Ambrose et al. [LG rock] (2019)</t>
  </si>
  <si>
    <t>Ambrose et al. [HG brine] (2019)</t>
  </si>
  <si>
    <t>Ambrose et al. [LG brine] (2019)</t>
  </si>
  <si>
    <t>Ambrose et al. [LG brine/unfav. cond.] (2019)</t>
  </si>
  <si>
    <t>Kelly et al. [Brine val.ue] (2021)</t>
  </si>
  <si>
    <t>Kelly et al. [Spod] (2021)</t>
  </si>
  <si>
    <t>Stamp et al. [Brine, fav. cond.] (2012)</t>
  </si>
  <si>
    <t>Stamp et al. [Spod, fav. cond.] (2012)</t>
  </si>
  <si>
    <t>Stamp et al. [Spod, unfav. cond.] (2012)</t>
  </si>
  <si>
    <t>Jiang et al. [Rock] (2020)</t>
  </si>
  <si>
    <t>Jiang et al. [Brine] (2020)</t>
  </si>
  <si>
    <t>GWP (kg_CO2e/kg_Li2CO3)</t>
  </si>
  <si>
    <t>Stamp et al [Brine, unfav. cond.] (2012) excluded bcs Value with 82.01 kg_CO2/kg_Li2CO3 is rooted in extreme assumptions (too unrealistic for selection criteria for this study)</t>
  </si>
  <si>
    <t>PARTLY</t>
  </si>
  <si>
    <t>Inclusion - Li carbonate</t>
  </si>
  <si>
    <t>Lithium Qualified Studies</t>
  </si>
  <si>
    <t>TOTAL (kg_CO2e/kg_Li2CO3)</t>
  </si>
  <si>
    <t>Not applicable because modelled product (Li2CO3) is already battery grade and does not need further refining</t>
  </si>
  <si>
    <t>-Both brines and spodumene to LiOH and Li2CO3
'- Fig 4, Table 4&amp;5 
- both LiOH and Li2CO3
- mining and benefication modelling very coarse</t>
  </si>
  <si>
    <t>Exclusion Rationale / Comment</t>
  </si>
  <si>
    <t>Lithium Peripheral Studies (generally excluded)</t>
  </si>
  <si>
    <t>Nickle Qualified Studies</t>
  </si>
  <si>
    <t>Nickel Peripheral Studies (generally excluded)</t>
  </si>
  <si>
    <t>Bai et al (2022) GFEM</t>
  </si>
  <si>
    <t>Bai et al (2022) LEM</t>
  </si>
  <si>
    <t>INTERMEDIATE TABLE (Values with respect to Ni metal)</t>
  </si>
  <si>
    <t>TOTAL (kg_CO2e/kg_Ni_metal)</t>
  </si>
  <si>
    <t>Nickel Qualified Studies</t>
  </si>
  <si>
    <t>Inclusion - Ni Concentrate</t>
  </si>
  <si>
    <t>GWP (kg_CO2e/kg_Graphite)</t>
  </si>
  <si>
    <t>TOTAL (kg_CO2e/kg_Graphite)</t>
  </si>
  <si>
    <t>Dummy</t>
  </si>
  <si>
    <t>Graphite Qualified Studies</t>
  </si>
  <si>
    <t>Graphite Peripheral Studies (generally excluded)</t>
  </si>
  <si>
    <t>Synthetic only</t>
  </si>
  <si>
    <t>no databases</t>
  </si>
  <si>
    <t>Natural only</t>
  </si>
  <si>
    <t>Run 1</t>
  </si>
  <si>
    <t>Run 2</t>
  </si>
  <si>
    <t>Run 3</t>
  </si>
  <si>
    <t>Run 4</t>
  </si>
  <si>
    <t>Run 5</t>
  </si>
  <si>
    <t>Run 6</t>
  </si>
  <si>
    <t>Run 7</t>
  </si>
  <si>
    <t>Run 8</t>
  </si>
  <si>
    <t>Run 9</t>
  </si>
  <si>
    <t>Run 10</t>
  </si>
  <si>
    <t>Run 11</t>
  </si>
  <si>
    <t>Run 12</t>
  </si>
  <si>
    <t>Run 13</t>
  </si>
  <si>
    <t>Run 14</t>
  </si>
  <si>
    <t>Run 15</t>
  </si>
  <si>
    <t>Run 16</t>
  </si>
  <si>
    <t>Run 17</t>
  </si>
  <si>
    <t>Run 18</t>
  </si>
  <si>
    <t>Run 19</t>
  </si>
  <si>
    <t>Run 20</t>
  </si>
  <si>
    <t>Run 21</t>
  </si>
  <si>
    <t>Run 22</t>
  </si>
  <si>
    <t>Run 23</t>
  </si>
  <si>
    <t>Run 24</t>
  </si>
  <si>
    <t>Run 25</t>
  </si>
  <si>
    <t>Run 26</t>
  </si>
  <si>
    <t>Run 27</t>
  </si>
  <si>
    <t>Run 28</t>
  </si>
  <si>
    <t>Run 29</t>
  </si>
  <si>
    <t>Run 30</t>
  </si>
  <si>
    <t>Run 31</t>
  </si>
  <si>
    <t>Run 32</t>
  </si>
  <si>
    <t>Run 33</t>
  </si>
  <si>
    <t>Run 34</t>
  </si>
  <si>
    <t>Run 35</t>
  </si>
  <si>
    <t>Run 36</t>
  </si>
  <si>
    <t>Run 37</t>
  </si>
  <si>
    <t>Run 38</t>
  </si>
  <si>
    <t>Run 39</t>
  </si>
  <si>
    <t>Run 40</t>
  </si>
  <si>
    <t>Run 41</t>
  </si>
  <si>
    <t>Run 42</t>
  </si>
  <si>
    <t>Run 43</t>
  </si>
  <si>
    <t>Run 44</t>
  </si>
  <si>
    <t>Run 45</t>
  </si>
  <si>
    <t>Run 46</t>
  </si>
  <si>
    <t>Run 47</t>
  </si>
  <si>
    <t>Run 48</t>
  </si>
  <si>
    <t>Run 49</t>
  </si>
  <si>
    <t>Run 50</t>
  </si>
  <si>
    <t>Run 51</t>
  </si>
  <si>
    <t>Run 52</t>
  </si>
  <si>
    <t>Run 53</t>
  </si>
  <si>
    <t>Run 54</t>
  </si>
  <si>
    <t>Run 55</t>
  </si>
  <si>
    <t>Run 56</t>
  </si>
  <si>
    <t>Run 57</t>
  </si>
  <si>
    <t>Run 58</t>
  </si>
  <si>
    <t>Run 59</t>
  </si>
  <si>
    <t>Run 60</t>
  </si>
  <si>
    <t>Run 61</t>
  </si>
  <si>
    <t>Run 62</t>
  </si>
  <si>
    <t>Run 63</t>
  </si>
  <si>
    <t>Run 64</t>
  </si>
  <si>
    <t>Run 65</t>
  </si>
  <si>
    <t>Run 66</t>
  </si>
  <si>
    <t>Run 67</t>
  </si>
  <si>
    <t>Run 68</t>
  </si>
  <si>
    <t>Run 69</t>
  </si>
  <si>
    <t>Run 70</t>
  </si>
  <si>
    <t>Run 71</t>
  </si>
  <si>
    <t>Run 72</t>
  </si>
  <si>
    <t>Run 73</t>
  </si>
  <si>
    <t>Run 74</t>
  </si>
  <si>
    <t>Run 75</t>
  </si>
  <si>
    <t>Run 76</t>
  </si>
  <si>
    <t>Run 77</t>
  </si>
  <si>
    <t>Run 78</t>
  </si>
  <si>
    <t>Run 79</t>
  </si>
  <si>
    <t>Run 80</t>
  </si>
  <si>
    <t>Run 81</t>
  </si>
  <si>
    <t>Run 82</t>
  </si>
  <si>
    <t>Run 83</t>
  </si>
  <si>
    <t>Run 84</t>
  </si>
  <si>
    <t>Run 85</t>
  </si>
  <si>
    <t>Run 86</t>
  </si>
  <si>
    <t>Run 87</t>
  </si>
  <si>
    <t>Run 88</t>
  </si>
  <si>
    <t>Run 89</t>
  </si>
  <si>
    <t>Run 90</t>
  </si>
  <si>
    <t>Run 91</t>
  </si>
  <si>
    <t>Run 92</t>
  </si>
  <si>
    <t>Run 93</t>
  </si>
  <si>
    <t>Run 94</t>
  </si>
  <si>
    <t>Run 95</t>
  </si>
  <si>
    <t>Run 96</t>
  </si>
  <si>
    <t>Run 97</t>
  </si>
  <si>
    <t>Run 98</t>
  </si>
  <si>
    <t>Run 99</t>
  </si>
  <si>
    <t>Run 100</t>
  </si>
  <si>
    <t>Run 101</t>
  </si>
  <si>
    <t>Run 102</t>
  </si>
  <si>
    <t>Run 103</t>
  </si>
  <si>
    <t>Run 104</t>
  </si>
  <si>
    <t>Run 105</t>
  </si>
  <si>
    <t>Run 106</t>
  </si>
  <si>
    <t>Run 107</t>
  </si>
  <si>
    <t>Run 108</t>
  </si>
  <si>
    <t>Run 109</t>
  </si>
  <si>
    <t>Run 110</t>
  </si>
  <si>
    <t>Run 111</t>
  </si>
  <si>
    <t>Run 112</t>
  </si>
  <si>
    <t>Run 113</t>
  </si>
  <si>
    <t>Run 114</t>
  </si>
  <si>
    <t>Run 115</t>
  </si>
  <si>
    <t>Run 116</t>
  </si>
  <si>
    <t>Run 117</t>
  </si>
  <si>
    <t>Run 118</t>
  </si>
  <si>
    <t>Run 119</t>
  </si>
  <si>
    <t>Run 120</t>
  </si>
  <si>
    <t>Run 121</t>
  </si>
  <si>
    <t>Run 122</t>
  </si>
  <si>
    <t>Run 123</t>
  </si>
  <si>
    <t>Run 124</t>
  </si>
  <si>
    <t>Run 125</t>
  </si>
  <si>
    <t>Run 126</t>
  </si>
  <si>
    <t>Run 127</t>
  </si>
  <si>
    <t>Run 128</t>
  </si>
  <si>
    <t>Run 129</t>
  </si>
  <si>
    <t>Run 130</t>
  </si>
  <si>
    <t>Run 131</t>
  </si>
  <si>
    <t>Run 132</t>
  </si>
  <si>
    <t>Run 133</t>
  </si>
  <si>
    <t>Run 134</t>
  </si>
  <si>
    <t>Run 135</t>
  </si>
  <si>
    <t>Run 136</t>
  </si>
  <si>
    <t>Run 137</t>
  </si>
  <si>
    <t>Run 138</t>
  </si>
  <si>
    <t>Run 139</t>
  </si>
  <si>
    <t>Run 140</t>
  </si>
  <si>
    <t>Run 141</t>
  </si>
  <si>
    <t>Run 142</t>
  </si>
  <si>
    <t>Run 143</t>
  </si>
  <si>
    <t>Run 144</t>
  </si>
  <si>
    <t>Run 145</t>
  </si>
  <si>
    <t>Run 146</t>
  </si>
  <si>
    <t>Run 147</t>
  </si>
  <si>
    <t>Run 148</t>
  </si>
  <si>
    <t>Run 149</t>
  </si>
  <si>
    <t>Run 150</t>
  </si>
  <si>
    <t>Run 151</t>
  </si>
  <si>
    <t>Run 152</t>
  </si>
  <si>
    <t>Run 153</t>
  </si>
  <si>
    <t>Run 154</t>
  </si>
  <si>
    <t>Run 155</t>
  </si>
  <si>
    <t>Run 156</t>
  </si>
  <si>
    <t>Run 157</t>
  </si>
  <si>
    <t>Run 158</t>
  </si>
  <si>
    <t>Run 159</t>
  </si>
  <si>
    <t>Run 160</t>
  </si>
  <si>
    <t>Run 161</t>
  </si>
  <si>
    <t>Run 162</t>
  </si>
  <si>
    <t>Run 163</t>
  </si>
  <si>
    <t>Run 164</t>
  </si>
  <si>
    <t>Run 165</t>
  </si>
  <si>
    <t>Run 166</t>
  </si>
  <si>
    <t>Run 167</t>
  </si>
  <si>
    <t>Run 168</t>
  </si>
  <si>
    <t>Run 169</t>
  </si>
  <si>
    <t>Run 170</t>
  </si>
  <si>
    <t>Run 171</t>
  </si>
  <si>
    <t>Run 172</t>
  </si>
  <si>
    <t>Run 173</t>
  </si>
  <si>
    <t>Run 174</t>
  </si>
  <si>
    <t>Run 175</t>
  </si>
  <si>
    <t>Run 176</t>
  </si>
  <si>
    <t>Run 177</t>
  </si>
  <si>
    <t>Run 178</t>
  </si>
  <si>
    <t>Run 179</t>
  </si>
  <si>
    <t>Run 180</t>
  </si>
  <si>
    <t>Run 181</t>
  </si>
  <si>
    <t>Run 182</t>
  </si>
  <si>
    <t>Run 183</t>
  </si>
  <si>
    <t>Run 184</t>
  </si>
  <si>
    <t>Run 185</t>
  </si>
  <si>
    <t>Run 186</t>
  </si>
  <si>
    <t>Run 187</t>
  </si>
  <si>
    <t>Run 188</t>
  </si>
  <si>
    <t>Run 189</t>
  </si>
  <si>
    <t>Run 190</t>
  </si>
  <si>
    <t>Run 191</t>
  </si>
  <si>
    <t>Run 192</t>
  </si>
  <si>
    <t>Run 193</t>
  </si>
  <si>
    <t>Run 194</t>
  </si>
  <si>
    <t>Run 195</t>
  </si>
  <si>
    <t>Run 196</t>
  </si>
  <si>
    <t>Run 197</t>
  </si>
  <si>
    <t>Run 198</t>
  </si>
  <si>
    <t>Run 199</t>
  </si>
  <si>
    <t>Run 200</t>
  </si>
  <si>
    <t>Run 201</t>
  </si>
  <si>
    <t>Run 202</t>
  </si>
  <si>
    <t>Run 203</t>
  </si>
  <si>
    <t>Run 204</t>
  </si>
  <si>
    <t>Run 205</t>
  </si>
  <si>
    <t>Run 206</t>
  </si>
  <si>
    <t>Run 207</t>
  </si>
  <si>
    <t>Run 208</t>
  </si>
  <si>
    <t>Run 209</t>
  </si>
  <si>
    <t>Run 210</t>
  </si>
  <si>
    <t>Run 211</t>
  </si>
  <si>
    <t>Run 212</t>
  </si>
  <si>
    <t>Run 213</t>
  </si>
  <si>
    <t>Run 214</t>
  </si>
  <si>
    <t>Run 215</t>
  </si>
  <si>
    <t>Run 216</t>
  </si>
  <si>
    <t>Run 217</t>
  </si>
  <si>
    <t>Run 218</t>
  </si>
  <si>
    <t>Run 219</t>
  </si>
  <si>
    <t>Run 220</t>
  </si>
  <si>
    <t>Run 221</t>
  </si>
  <si>
    <t>Run 222</t>
  </si>
  <si>
    <t>Run 223</t>
  </si>
  <si>
    <t>Run 224</t>
  </si>
  <si>
    <t>Run 225</t>
  </si>
  <si>
    <t>Run 226</t>
  </si>
  <si>
    <t>Run 227</t>
  </si>
  <si>
    <t>Run 228</t>
  </si>
  <si>
    <t>Run 229</t>
  </si>
  <si>
    <t>Run 230</t>
  </si>
  <si>
    <t>Run 231</t>
  </si>
  <si>
    <t>Run 232</t>
  </si>
  <si>
    <t>Run 233</t>
  </si>
  <si>
    <t>Run 234</t>
  </si>
  <si>
    <t>Run 235</t>
  </si>
  <si>
    <t>Run 236</t>
  </si>
  <si>
    <t>Run 237</t>
  </si>
  <si>
    <t>Run 238</t>
  </si>
  <si>
    <t>Run 239</t>
  </si>
  <si>
    <t>Run 240</t>
  </si>
  <si>
    <t>Run 241</t>
  </si>
  <si>
    <t>Run 242</t>
  </si>
  <si>
    <t>Run 243</t>
  </si>
  <si>
    <t>Run 244</t>
  </si>
  <si>
    <t>Run 245</t>
  </si>
  <si>
    <t>Run 246</t>
  </si>
  <si>
    <t>Run 247</t>
  </si>
  <si>
    <t>Run 248</t>
  </si>
  <si>
    <t>Run 249</t>
  </si>
  <si>
    <t>Run 250</t>
  </si>
  <si>
    <t>Run 251</t>
  </si>
  <si>
    <t>Run 252</t>
  </si>
  <si>
    <t>Run 253</t>
  </si>
  <si>
    <t>Run 254</t>
  </si>
  <si>
    <t>Run 255</t>
  </si>
  <si>
    <t>Run 256</t>
  </si>
  <si>
    <t>Run 257</t>
  </si>
  <si>
    <t>Run 258</t>
  </si>
  <si>
    <t>Run 259</t>
  </si>
  <si>
    <t>Run 260</t>
  </si>
  <si>
    <t>Run 261</t>
  </si>
  <si>
    <t>Run 262</t>
  </si>
  <si>
    <t>Run 263</t>
  </si>
  <si>
    <t>Run 264</t>
  </si>
  <si>
    <t>Run 265</t>
  </si>
  <si>
    <t>Run 266</t>
  </si>
  <si>
    <t>Run 267</t>
  </si>
  <si>
    <t>Run 268</t>
  </si>
  <si>
    <t>Run 269</t>
  </si>
  <si>
    <t>Run 270</t>
  </si>
  <si>
    <t>Run 271</t>
  </si>
  <si>
    <t>Run 272</t>
  </si>
  <si>
    <t>Run 273</t>
  </si>
  <si>
    <t>Run 274</t>
  </si>
  <si>
    <t>Run 275</t>
  </si>
  <si>
    <t>Run 276</t>
  </si>
  <si>
    <t>Run 277</t>
  </si>
  <si>
    <t>Run 278</t>
  </si>
  <si>
    <t>Run 279</t>
  </si>
  <si>
    <t>Run 280</t>
  </si>
  <si>
    <t>Run 281</t>
  </si>
  <si>
    <t>Run 282</t>
  </si>
  <si>
    <t>Run 283</t>
  </si>
  <si>
    <t>Run 284</t>
  </si>
  <si>
    <t>Run 285</t>
  </si>
  <si>
    <t>Run 286</t>
  </si>
  <si>
    <t>Run 287</t>
  </si>
  <si>
    <t>Run 288</t>
  </si>
  <si>
    <t>Run 289</t>
  </si>
  <si>
    <t>Run 290</t>
  </si>
  <si>
    <t>Run 291</t>
  </si>
  <si>
    <t>Run 292</t>
  </si>
  <si>
    <t>Run 293</t>
  </si>
  <si>
    <t>Run 294</t>
  </si>
  <si>
    <t>Run 295</t>
  </si>
  <si>
    <t>Run 296</t>
  </si>
  <si>
    <t>Run 297</t>
  </si>
  <si>
    <t>Run 298</t>
  </si>
  <si>
    <t>Run 299</t>
  </si>
  <si>
    <t>Run 300</t>
  </si>
  <si>
    <t>Run 301</t>
  </si>
  <si>
    <t>Run 302</t>
  </si>
  <si>
    <t>Run 303</t>
  </si>
  <si>
    <t>Run 304</t>
  </si>
  <si>
    <t>Run 305</t>
  </si>
  <si>
    <t>Run 306</t>
  </si>
  <si>
    <t>Run 307</t>
  </si>
  <si>
    <t>Run 308</t>
  </si>
  <si>
    <t>Run 309</t>
  </si>
  <si>
    <t>Run 310</t>
  </si>
  <si>
    <t>Run 311</t>
  </si>
  <si>
    <t>Run 312</t>
  </si>
  <si>
    <t>Run 313</t>
  </si>
  <si>
    <t>Run 314</t>
  </si>
  <si>
    <t>Run 315</t>
  </si>
  <si>
    <t>Run 316</t>
  </si>
  <si>
    <t>Run 317</t>
  </si>
  <si>
    <t>Run 318</t>
  </si>
  <si>
    <t>Run 319</t>
  </si>
  <si>
    <t>Run 320</t>
  </si>
  <si>
    <t>Run 321</t>
  </si>
  <si>
    <t>Run 322</t>
  </si>
  <si>
    <t>Run 323</t>
  </si>
  <si>
    <t>Run 324</t>
  </si>
  <si>
    <t>Run 325</t>
  </si>
  <si>
    <t>Run 326</t>
  </si>
  <si>
    <t>Run 327</t>
  </si>
  <si>
    <t>Run 328</t>
  </si>
  <si>
    <t>Run 329</t>
  </si>
  <si>
    <t>Run 330</t>
  </si>
  <si>
    <t>Run 331</t>
  </si>
  <si>
    <t>Run 332</t>
  </si>
  <si>
    <t>Run 333</t>
  </si>
  <si>
    <t>Run 334</t>
  </si>
  <si>
    <t>Run 335</t>
  </si>
  <si>
    <t>Run 336</t>
  </si>
  <si>
    <t>Run 337</t>
  </si>
  <si>
    <t>Run 338</t>
  </si>
  <si>
    <t>Run 339</t>
  </si>
  <si>
    <t>Run 340</t>
  </si>
  <si>
    <t>Run 341</t>
  </si>
  <si>
    <t>Run 342</t>
  </si>
  <si>
    <t>Run 343</t>
  </si>
  <si>
    <t>Run 344</t>
  </si>
  <si>
    <t>Run 345</t>
  </si>
  <si>
    <t>Run 346</t>
  </si>
  <si>
    <t>Run 347</t>
  </si>
  <si>
    <t>Run 348</t>
  </si>
  <si>
    <t>Run 349</t>
  </si>
  <si>
    <t>Run 350</t>
  </si>
  <si>
    <t>Run 351</t>
  </si>
  <si>
    <t>Run 352</t>
  </si>
  <si>
    <t>Run 353</t>
  </si>
  <si>
    <t>Run 354</t>
  </si>
  <si>
    <t>Run 355</t>
  </si>
  <si>
    <t>Run 356</t>
  </si>
  <si>
    <t>Run 357</t>
  </si>
  <si>
    <t>Run 358</t>
  </si>
  <si>
    <t>Run 359</t>
  </si>
  <si>
    <t>Run 360</t>
  </si>
  <si>
    <t>Run 361</t>
  </si>
  <si>
    <t>Run 362</t>
  </si>
  <si>
    <t>Run 363</t>
  </si>
  <si>
    <t>Run 364</t>
  </si>
  <si>
    <t>Run 365</t>
  </si>
  <si>
    <t>Run 366</t>
  </si>
  <si>
    <t>Run 367</t>
  </si>
  <si>
    <t>Run 368</t>
  </si>
  <si>
    <t>Run 369</t>
  </si>
  <si>
    <t>Run 370</t>
  </si>
  <si>
    <t>Run 371</t>
  </si>
  <si>
    <t>Run 372</t>
  </si>
  <si>
    <t>Run 373</t>
  </si>
  <si>
    <t>Run 374</t>
  </si>
  <si>
    <t>Run 375</t>
  </si>
  <si>
    <t>Run 376</t>
  </si>
  <si>
    <t>Run 377</t>
  </si>
  <si>
    <t>Run 378</t>
  </si>
  <si>
    <t>Run 379</t>
  </si>
  <si>
    <t>Run 380</t>
  </si>
  <si>
    <t>Run 381</t>
  </si>
  <si>
    <t>Run 382</t>
  </si>
  <si>
    <t>Run 383</t>
  </si>
  <si>
    <t>Run 384</t>
  </si>
  <si>
    <t>Run 385</t>
  </si>
  <si>
    <t>Run 386</t>
  </si>
  <si>
    <t>Run 387</t>
  </si>
  <si>
    <t>Run 388</t>
  </si>
  <si>
    <t>Run 389</t>
  </si>
  <si>
    <t>Run 390</t>
  </si>
  <si>
    <t>Run 391</t>
  </si>
  <si>
    <t>Run 392</t>
  </si>
  <si>
    <t>Run 393</t>
  </si>
  <si>
    <t>Run 394</t>
  </si>
  <si>
    <t>Run 395</t>
  </si>
  <si>
    <t>Run 396</t>
  </si>
  <si>
    <t>Run 397</t>
  </si>
  <si>
    <t>Run 398</t>
  </si>
  <si>
    <t>Run 399</t>
  </si>
  <si>
    <t>Run 400</t>
  </si>
  <si>
    <t>Run 401</t>
  </si>
  <si>
    <t>Run 402</t>
  </si>
  <si>
    <t>Run 403</t>
  </si>
  <si>
    <t>Run 404</t>
  </si>
  <si>
    <t>Run 405</t>
  </si>
  <si>
    <t>Run 406</t>
  </si>
  <si>
    <t>Run 407</t>
  </si>
  <si>
    <t>Run 408</t>
  </si>
  <si>
    <t>Run 409</t>
  </si>
  <si>
    <t>Run 410</t>
  </si>
  <si>
    <t>Run 411</t>
  </si>
  <si>
    <t>Run 412</t>
  </si>
  <si>
    <t>Run 413</t>
  </si>
  <si>
    <t>Run 414</t>
  </si>
  <si>
    <t>Run 415</t>
  </si>
  <si>
    <t>Run 416</t>
  </si>
  <si>
    <t>Run 417</t>
  </si>
  <si>
    <t>Run 418</t>
  </si>
  <si>
    <t>Run 419</t>
  </si>
  <si>
    <t>Run 420</t>
  </si>
  <si>
    <t>Run 421</t>
  </si>
  <si>
    <t>Run 422</t>
  </si>
  <si>
    <t>Run 423</t>
  </si>
  <si>
    <t>Run 424</t>
  </si>
  <si>
    <t>Run 425</t>
  </si>
  <si>
    <t>Run 426</t>
  </si>
  <si>
    <t>Run 427</t>
  </si>
  <si>
    <t>Run 428</t>
  </si>
  <si>
    <t>Run 429</t>
  </si>
  <si>
    <t>Run 430</t>
  </si>
  <si>
    <t>Run 431</t>
  </si>
  <si>
    <t>Run 432</t>
  </si>
  <si>
    <t>Run 433</t>
  </si>
  <si>
    <t>Run 434</t>
  </si>
  <si>
    <t>Run 435</t>
  </si>
  <si>
    <t>Run 436</t>
  </si>
  <si>
    <t>Run 437</t>
  </si>
  <si>
    <t>Run 438</t>
  </si>
  <si>
    <t>Run 439</t>
  </si>
  <si>
    <t>Run 440</t>
  </si>
  <si>
    <t>Run 441</t>
  </si>
  <si>
    <t>Run 442</t>
  </si>
  <si>
    <t>Run 443</t>
  </si>
  <si>
    <t>Run 444</t>
  </si>
  <si>
    <t>Run 445</t>
  </si>
  <si>
    <t>Run 446</t>
  </si>
  <si>
    <t>Run 447</t>
  </si>
  <si>
    <t>Run 448</t>
  </si>
  <si>
    <t>Run 449</t>
  </si>
  <si>
    <t>Run 450</t>
  </si>
  <si>
    <t>Run 451</t>
  </si>
  <si>
    <t>Run 452</t>
  </si>
  <si>
    <t>Run 453</t>
  </si>
  <si>
    <t>Run 454</t>
  </si>
  <si>
    <t>Run 455</t>
  </si>
  <si>
    <t>Run 456</t>
  </si>
  <si>
    <t>Run 457</t>
  </si>
  <si>
    <t>Run 458</t>
  </si>
  <si>
    <t>Run 459</t>
  </si>
  <si>
    <t>Run 460</t>
  </si>
  <si>
    <t>Run 461</t>
  </si>
  <si>
    <t>Run 462</t>
  </si>
  <si>
    <t>Run 463</t>
  </si>
  <si>
    <t>Run 464</t>
  </si>
  <si>
    <t>Run 465</t>
  </si>
  <si>
    <t>Run 466</t>
  </si>
  <si>
    <t>Run 467</t>
  </si>
  <si>
    <t>Run 468</t>
  </si>
  <si>
    <t>Run 469</t>
  </si>
  <si>
    <t>Run 470</t>
  </si>
  <si>
    <t>Run 471</t>
  </si>
  <si>
    <t>Run 472</t>
  </si>
  <si>
    <t>Run 473</t>
  </si>
  <si>
    <t>Run 474</t>
  </si>
  <si>
    <t>Run 475</t>
  </si>
  <si>
    <t>Run 476</t>
  </si>
  <si>
    <t>Run 477</t>
  </si>
  <si>
    <t>Run 478</t>
  </si>
  <si>
    <t>Run 479</t>
  </si>
  <si>
    <t>Run 480</t>
  </si>
  <si>
    <t>Run 481</t>
  </si>
  <si>
    <t>Run 482</t>
  </si>
  <si>
    <t>Run 483</t>
  </si>
  <si>
    <t>Run 484</t>
  </si>
  <si>
    <t>Run 485</t>
  </si>
  <si>
    <t>Run 486</t>
  </si>
  <si>
    <t>Run 487</t>
  </si>
  <si>
    <t>Run 488</t>
  </si>
  <si>
    <t>Run 489</t>
  </si>
  <si>
    <t>Run 490</t>
  </si>
  <si>
    <t>Run 491</t>
  </si>
  <si>
    <t>Run 492</t>
  </si>
  <si>
    <t>Run 493</t>
  </si>
  <si>
    <t>Run 494</t>
  </si>
  <si>
    <t>Run 495</t>
  </si>
  <si>
    <t>Run 496</t>
  </si>
  <si>
    <t>Run 497</t>
  </si>
  <si>
    <t>Run 498</t>
  </si>
  <si>
    <t>Run 499</t>
  </si>
  <si>
    <t>Run 500</t>
  </si>
  <si>
    <t>P5</t>
  </si>
  <si>
    <t>P95</t>
  </si>
  <si>
    <t>P5 rel deviation from mean</t>
  </si>
  <si>
    <t>Average</t>
  </si>
  <si>
    <t>P95 rel deviation from mean</t>
  </si>
  <si>
    <t>5th Percentile Ecoinvent 3.9.1  'cobalt sulfate production' (kilogram, CN, None)</t>
  </si>
  <si>
    <t>95th Percentile Ecoinvent 3.9.1  'cobalt sulfate production' (kilogram, CN, None)</t>
  </si>
  <si>
    <t>GREET 2022 [from brine]</t>
  </si>
  <si>
    <t>GREET 2022 [from ore]</t>
  </si>
  <si>
    <t>EI 3.9.1 [from ore, RoW]</t>
  </si>
  <si>
    <t>EI 3.9.1 [from ore, CN]</t>
  </si>
  <si>
    <t>EI 3.9.1 [from brine, GLO]</t>
  </si>
  <si>
    <t>GREET 2022 [mass-alloc]</t>
  </si>
  <si>
    <t>kg CO2 eq/kg_NiSO4</t>
  </si>
  <si>
    <t>GREET</t>
  </si>
  <si>
    <t>- not broken down into processes
- study is only looking at laterites</t>
  </si>
  <si>
    <t>No useful breakdowns</t>
  </si>
  <si>
    <t>VDA report - Laterite-Limonite (ID: HPAL)</t>
  </si>
  <si>
    <t>T&amp;E report - Laterite-Limonite (NC: HPAL)</t>
  </si>
  <si>
    <t>T&amp;E report - Laterite-Limonite (ID: HPAL)</t>
  </si>
  <si>
    <t>T&amp;E report - Laterite-Saperolite (ID: RKEF)</t>
  </si>
  <si>
    <t>VDA report - Laterite-Saperolite (ID: RKEF)</t>
  </si>
  <si>
    <t>Yin</t>
  </si>
  <si>
    <t>no limonite focus</t>
  </si>
  <si>
    <t>no saprolite focus</t>
  </si>
  <si>
    <t>unit</t>
  </si>
  <si>
    <t>market for nickel, class 1</t>
  </si>
  <si>
    <t>nickel, class 1</t>
  </si>
  <si>
    <t>kilogram</t>
  </si>
  <si>
    <t>amount</t>
  </si>
  <si>
    <t>name</t>
  </si>
  <si>
    <t>reference product</t>
  </si>
  <si>
    <t>lcia_abs_score</t>
  </si>
  <si>
    <t>activity</t>
  </si>
  <si>
    <t>'market for chemical factory, organics' (unit, GLO, None)</t>
  </si>
  <si>
    <t>'market group for electricity, medium voltage' (kilowatt hour, GLO, None)</t>
  </si>
  <si>
    <t>'market group for heat, district or industrial, natural gas' (megajoule, GLO, None)</t>
  </si>
  <si>
    <t>'market for heat, from steam, in chemical industry' (megajoule, RER, None)</t>
  </si>
  <si>
    <t>'market for heat, from steam, in chemical industry' (megajoule, RoW, None)</t>
  </si>
  <si>
    <t>'market for nitrogen, liquid' (kilogram, RoW, None)</t>
  </si>
  <si>
    <t>'market for nitrogen, liquid' (kilogram, RER, None)</t>
  </si>
  <si>
    <t>'market for sulfuric acid' (kilogram, RER, None)</t>
  </si>
  <si>
    <t>'market for sulfuric acid' (kilogram, RoW, None)</t>
  </si>
  <si>
    <t>Excerpt from ecoinvent 3.9.1. cut-off inventory for Ni sulfate production</t>
  </si>
  <si>
    <t>(LCIA of nickel metal)*(mass input of nickel metal)+(residual LCIA contributions)</t>
  </si>
  <si>
    <t>Residual LCIA contributions</t>
  </si>
  <si>
    <t>LCIA calculation of Ni sulfate w/o contribution of Ni metal</t>
  </si>
  <si>
    <t>Conversion rule Ni metal -&gt; Ni sulfate anhydrous (TOTAL CF)</t>
  </si>
  <si>
    <t>A</t>
  </si>
  <si>
    <t>B</t>
  </si>
  <si>
    <t>This sheet is an artefact of a previous research project stage.</t>
  </si>
  <si>
    <t xml:space="preserve">Only SSH ore studies for emission curve comparison shown. </t>
  </si>
  <si>
    <t>Bai et al (2022)</t>
  </si>
  <si>
    <t>GREET 2022 [Lat-Lim (no metal intermediate)]</t>
  </si>
  <si>
    <t>GREET 2022 [Lat-Lim]</t>
  </si>
  <si>
    <t>Norgate &amp; Rankin (2000) [Sulph]</t>
  </si>
  <si>
    <t>Norgate &amp; Rankin (2000) [Lat]</t>
  </si>
  <si>
    <t>no aggregated values if underlying values are available</t>
  </si>
  <si>
    <t>VDA Report</t>
  </si>
  <si>
    <t>Identical values as in T&amp;E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</si>
</sst>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0"/>
      <name val="Arial"/>
      <family val="2"/>
    </font>
    <font>
      <sz val="8"/>
      <name val="Calibri"/>
      <family val="2"/>
      <scheme val="minor"/>
    </font>
    <font>
      <sz val="9"/>
      <color indexed="81"/>
      <name val="Tahoma"/>
    </font>
    <font>
      <b/>
      <sz val="9"/>
      <color indexed="81"/>
      <name val="Tahoma"/>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0" fillId="0" borderId="0"/>
  </cellStyleXfs>
  <cellXfs count="116">
    <xf numFmtId="0" fontId="0" fillId="0" borderId="0" xfId="0"/>
    <xf numFmtId="0" fontId="0" fillId="0" borderId="0" xfId="0" applyAlignment="1">
      <alignment vertical="center"/>
    </xf>
    <xf numFmtId="0" fontId="0" fillId="34" borderId="0" xfId="0" applyFill="1" applyAlignment="1">
      <alignment vertical="center"/>
    </xf>
    <xf numFmtId="0" fontId="0" fillId="35" borderId="0" xfId="0" applyFill="1" applyAlignment="1">
      <alignment vertical="center"/>
    </xf>
    <xf numFmtId="0" fontId="0" fillId="33" borderId="0" xfId="0" quotePrefix="1" applyFill="1" applyAlignment="1">
      <alignment horizontal="left" vertical="center" wrapText="1"/>
    </xf>
    <xf numFmtId="0" fontId="0" fillId="33" borderId="0" xfId="0" applyFill="1" applyAlignment="1">
      <alignment vertical="center" wrapText="1"/>
    </xf>
    <xf numFmtId="0" fontId="0" fillId="0" borderId="0" xfId="0" applyAlignment="1">
      <alignment vertical="center" wrapText="1"/>
    </xf>
    <xf numFmtId="0" fontId="0" fillId="35" borderId="0" xfId="0" applyFill="1" applyAlignment="1">
      <alignment vertical="center" wrapText="1"/>
    </xf>
    <xf numFmtId="0" fontId="0" fillId="33" borderId="0" xfId="0" applyFill="1" applyAlignment="1">
      <alignment horizontal="left" vertical="center" wrapText="1"/>
    </xf>
    <xf numFmtId="0" fontId="0" fillId="33" borderId="0" xfId="0" applyFill="1" applyAlignment="1">
      <alignment vertical="center"/>
    </xf>
    <xf numFmtId="0" fontId="16" fillId="33" borderId="0" xfId="0" applyFont="1" applyFill="1" applyAlignment="1">
      <alignment vertical="center"/>
    </xf>
    <xf numFmtId="0" fontId="16" fillId="0" borderId="10" xfId="0" applyFont="1" applyBorder="1" applyAlignment="1">
      <alignment vertical="center" wrapText="1"/>
    </xf>
    <xf numFmtId="0" fontId="16" fillId="0" borderId="11" xfId="0" applyFont="1" applyBorder="1" applyAlignment="1">
      <alignment vertical="center" wrapText="1"/>
    </xf>
    <xf numFmtId="0" fontId="16" fillId="0" borderId="12" xfId="0" applyFont="1" applyBorder="1" applyAlignment="1">
      <alignment vertical="center" wrapText="1"/>
    </xf>
    <xf numFmtId="0" fontId="0" fillId="34" borderId="0" xfId="0" applyFill="1" applyAlignment="1">
      <alignment vertical="center" wrapText="1"/>
    </xf>
    <xf numFmtId="164" fontId="0" fillId="0" borderId="13" xfId="0" applyNumberFormat="1" applyBorder="1" applyAlignment="1">
      <alignment vertical="center"/>
    </xf>
    <xf numFmtId="164" fontId="0" fillId="0" borderId="0" xfId="0" applyNumberFormat="1" applyAlignment="1">
      <alignment vertical="center" wrapText="1"/>
    </xf>
    <xf numFmtId="0" fontId="0" fillId="0" borderId="14" xfId="0" applyBorder="1" applyAlignment="1">
      <alignment vertical="center" wrapText="1"/>
    </xf>
    <xf numFmtId="2" fontId="0" fillId="34" borderId="0" xfId="0" applyNumberFormat="1" applyFill="1" applyAlignment="1">
      <alignment vertical="center" wrapText="1"/>
    </xf>
    <xf numFmtId="0" fontId="0" fillId="33" borderId="13" xfId="0" applyFill="1" applyBorder="1" applyAlignment="1">
      <alignment vertical="center"/>
    </xf>
    <xf numFmtId="0" fontId="0" fillId="33" borderId="14" xfId="0" applyFill="1" applyBorder="1" applyAlignment="1">
      <alignment vertical="center"/>
    </xf>
    <xf numFmtId="2" fontId="0" fillId="33" borderId="0" xfId="0" applyNumberFormat="1" applyFill="1" applyAlignment="1">
      <alignment vertical="center"/>
    </xf>
    <xf numFmtId="2" fontId="0" fillId="33" borderId="0" xfId="0" applyNumberFormat="1" applyFill="1" applyAlignment="1">
      <alignment horizontal="left" vertical="center" wrapText="1"/>
    </xf>
    <xf numFmtId="0" fontId="16" fillId="33" borderId="13" xfId="0" applyFont="1" applyFill="1" applyBorder="1" applyAlignment="1">
      <alignment vertical="center" wrapText="1"/>
    </xf>
    <xf numFmtId="0" fontId="16" fillId="33" borderId="0" xfId="0" applyFont="1" applyFill="1" applyAlignment="1">
      <alignment vertical="center" wrapText="1"/>
    </xf>
    <xf numFmtId="0" fontId="16" fillId="33" borderId="14" xfId="0" applyFont="1" applyFill="1" applyBorder="1" applyAlignment="1">
      <alignment vertical="center" wrapText="1"/>
    </xf>
    <xf numFmtId="10" fontId="0" fillId="33" borderId="0" xfId="42" applyNumberFormat="1" applyFont="1" applyFill="1" applyBorder="1" applyAlignment="1">
      <alignment vertical="center"/>
    </xf>
    <xf numFmtId="0" fontId="20" fillId="0" borderId="0" xfId="43" applyAlignment="1">
      <alignment vertical="center"/>
    </xf>
    <xf numFmtId="0" fontId="0" fillId="34" borderId="0" xfId="0" applyFill="1" applyAlignment="1">
      <alignment horizontal="left" vertical="center" wrapText="1"/>
    </xf>
    <xf numFmtId="0" fontId="0" fillId="0" borderId="0" xfId="42" applyNumberFormat="1" applyFont="1" applyBorder="1" applyAlignment="1">
      <alignment vertical="center"/>
    </xf>
    <xf numFmtId="2" fontId="0" fillId="0" borderId="0" xfId="0" applyNumberFormat="1" applyAlignment="1">
      <alignment vertical="center"/>
    </xf>
    <xf numFmtId="10" fontId="0" fillId="0" borderId="0" xfId="42" applyNumberFormat="1" applyFont="1" applyBorder="1" applyAlignment="1">
      <alignment vertical="center"/>
    </xf>
    <xf numFmtId="0" fontId="0" fillId="33" borderId="13" xfId="0" applyFill="1" applyBorder="1" applyAlignment="1">
      <alignment horizontal="left" vertical="center" wrapText="1"/>
    </xf>
    <xf numFmtId="0" fontId="0" fillId="33" borderId="14" xfId="0" applyFill="1" applyBorder="1" applyAlignment="1">
      <alignment horizontal="right" vertical="center" wrapText="1"/>
    </xf>
    <xf numFmtId="2" fontId="0" fillId="33" borderId="14" xfId="0" applyNumberFormat="1" applyFill="1" applyBorder="1" applyAlignment="1">
      <alignment vertical="center"/>
    </xf>
    <xf numFmtId="0" fontId="16" fillId="0" borderId="0" xfId="0" applyFont="1" applyAlignment="1">
      <alignment vertical="center" wrapText="1"/>
    </xf>
    <xf numFmtId="0" fontId="0" fillId="33" borderId="13" xfId="0" applyFill="1" applyBorder="1" applyAlignment="1">
      <alignment vertical="center" wrapText="1"/>
    </xf>
    <xf numFmtId="0" fontId="16" fillId="33" borderId="10" xfId="0" applyFont="1" applyFill="1" applyBorder="1" applyAlignment="1">
      <alignment vertical="center" wrapText="1"/>
    </xf>
    <xf numFmtId="0" fontId="16" fillId="33" borderId="11" xfId="0" applyFont="1" applyFill="1" applyBorder="1" applyAlignment="1">
      <alignment vertical="center" wrapText="1"/>
    </xf>
    <xf numFmtId="0" fontId="16" fillId="33" borderId="12" xfId="0" applyFont="1" applyFill="1" applyBorder="1" applyAlignment="1">
      <alignment vertical="center" wrapText="1"/>
    </xf>
    <xf numFmtId="10" fontId="0" fillId="0" borderId="0" xfId="0" applyNumberFormat="1" applyAlignment="1">
      <alignment vertical="center"/>
    </xf>
    <xf numFmtId="10" fontId="0" fillId="33" borderId="0" xfId="0" applyNumberFormat="1" applyFill="1" applyAlignment="1">
      <alignment vertical="center"/>
    </xf>
    <xf numFmtId="0" fontId="0" fillId="33" borderId="15" xfId="0" applyFill="1" applyBorder="1" applyAlignment="1">
      <alignment vertical="center"/>
    </xf>
    <xf numFmtId="10" fontId="0" fillId="33" borderId="16" xfId="0" applyNumberFormat="1" applyFill="1" applyBorder="1" applyAlignment="1">
      <alignment vertical="center"/>
    </xf>
    <xf numFmtId="2" fontId="0" fillId="33" borderId="17" xfId="0" applyNumberFormat="1" applyFill="1" applyBorder="1" applyAlignment="1">
      <alignment vertical="center"/>
    </xf>
    <xf numFmtId="0" fontId="0" fillId="0" borderId="0" xfId="0" applyAlignment="1">
      <alignment horizontal="left" vertical="center" wrapText="1"/>
    </xf>
    <xf numFmtId="0" fontId="0" fillId="33" borderId="0" xfId="0" quotePrefix="1" applyFill="1" applyAlignment="1">
      <alignment vertical="center" wrapText="1"/>
    </xf>
    <xf numFmtId="2" fontId="0" fillId="35" borderId="0" xfId="0" applyNumberFormat="1" applyFill="1" applyAlignment="1">
      <alignment vertical="center"/>
    </xf>
    <xf numFmtId="0" fontId="16" fillId="34" borderId="0" xfId="0" applyFont="1" applyFill="1" applyAlignment="1">
      <alignment vertical="center"/>
    </xf>
    <xf numFmtId="0" fontId="16" fillId="35" borderId="0" xfId="0" applyFont="1" applyFill="1" applyAlignment="1">
      <alignment vertical="center" wrapText="1"/>
    </xf>
    <xf numFmtId="2" fontId="0" fillId="34" borderId="0" xfId="0" applyNumberFormat="1" applyFill="1" applyAlignment="1">
      <alignment horizontal="right" vertical="center" wrapText="1"/>
    </xf>
    <xf numFmtId="2" fontId="0" fillId="35" borderId="0" xfId="0" applyNumberFormat="1" applyFill="1" applyAlignment="1">
      <alignment vertical="center" wrapText="1"/>
    </xf>
    <xf numFmtId="2" fontId="0" fillId="33" borderId="0" xfId="0" applyNumberFormat="1" applyFill="1" applyAlignment="1">
      <alignment vertical="center" wrapText="1"/>
    </xf>
    <xf numFmtId="11" fontId="0" fillId="0" borderId="0" xfId="0" applyNumberFormat="1" applyAlignment="1">
      <alignment vertical="center" wrapText="1"/>
    </xf>
    <xf numFmtId="0" fontId="0" fillId="33" borderId="14" xfId="0" applyFill="1" applyBorder="1" applyAlignment="1">
      <alignment vertical="center" wrapText="1"/>
    </xf>
    <xf numFmtId="0" fontId="0" fillId="33" borderId="14" xfId="42" applyNumberFormat="1" applyFont="1" applyFill="1" applyBorder="1" applyAlignment="1">
      <alignment vertical="center"/>
    </xf>
    <xf numFmtId="0" fontId="16" fillId="0" borderId="0" xfId="0" applyFont="1" applyAlignment="1">
      <alignment vertical="center"/>
    </xf>
    <xf numFmtId="9" fontId="0" fillId="33" borderId="0" xfId="42" applyFont="1" applyFill="1" applyBorder="1" applyAlignment="1">
      <alignment vertical="center"/>
    </xf>
    <xf numFmtId="0" fontId="0" fillId="35" borderId="13" xfId="0" applyFill="1" applyBorder="1" applyAlignment="1">
      <alignment vertical="center"/>
    </xf>
    <xf numFmtId="0" fontId="0" fillId="35" borderId="14" xfId="0" applyFill="1" applyBorder="1" applyAlignment="1">
      <alignment vertical="center"/>
    </xf>
    <xf numFmtId="0" fontId="0" fillId="35" borderId="13" xfId="0" applyFill="1" applyBorder="1" applyAlignment="1">
      <alignment vertical="center" wrapText="1"/>
    </xf>
    <xf numFmtId="0" fontId="0" fillId="35" borderId="14" xfId="0" applyFill="1" applyBorder="1" applyAlignment="1">
      <alignment vertical="center" wrapText="1"/>
    </xf>
    <xf numFmtId="0" fontId="0" fillId="35" borderId="15" xfId="0" applyFill="1" applyBorder="1" applyAlignment="1">
      <alignment vertical="center" wrapText="1"/>
    </xf>
    <xf numFmtId="0" fontId="0" fillId="35" borderId="16" xfId="0" applyFill="1" applyBorder="1" applyAlignment="1">
      <alignment vertical="center" wrapText="1"/>
    </xf>
    <xf numFmtId="0" fontId="0" fillId="35" borderId="17" xfId="0" applyFill="1" applyBorder="1" applyAlignment="1">
      <alignment vertical="center" wrapText="1"/>
    </xf>
    <xf numFmtId="0" fontId="0" fillId="33" borderId="10" xfId="0" applyFill="1" applyBorder="1" applyAlignment="1">
      <alignment vertical="center" wrapText="1"/>
    </xf>
    <xf numFmtId="0" fontId="0" fillId="33" borderId="11" xfId="0" applyFill="1" applyBorder="1" applyAlignment="1">
      <alignment vertical="center" wrapText="1"/>
    </xf>
    <xf numFmtId="0" fontId="0" fillId="33" borderId="17" xfId="0" applyFill="1" applyBorder="1" applyAlignment="1">
      <alignment vertical="center"/>
    </xf>
    <xf numFmtId="0" fontId="16" fillId="35" borderId="15" xfId="0" applyFont="1" applyFill="1" applyBorder="1" applyAlignment="1">
      <alignment vertical="center" wrapText="1"/>
    </xf>
    <xf numFmtId="2" fontId="0" fillId="34" borderId="0" xfId="0" applyNumberFormat="1" applyFill="1" applyAlignment="1">
      <alignment vertical="center"/>
    </xf>
    <xf numFmtId="2" fontId="0" fillId="0" borderId="0" xfId="0" applyNumberFormat="1" applyAlignment="1">
      <alignment vertical="center" wrapText="1"/>
    </xf>
    <xf numFmtId="2" fontId="0" fillId="0" borderId="0" xfId="0" applyNumberFormat="1" applyAlignment="1">
      <alignment horizontal="left" vertical="center" wrapText="1"/>
    </xf>
    <xf numFmtId="0" fontId="0" fillId="33" borderId="12" xfId="0" applyFill="1" applyBorder="1" applyAlignment="1">
      <alignment vertical="center" wrapText="1"/>
    </xf>
    <xf numFmtId="0" fontId="0" fillId="35" borderId="18" xfId="0" applyFill="1" applyBorder="1" applyAlignment="1">
      <alignment vertical="center"/>
    </xf>
    <xf numFmtId="0" fontId="0" fillId="35" borderId="18" xfId="0" applyFill="1" applyBorder="1" applyAlignment="1">
      <alignment vertical="center" wrapText="1"/>
    </xf>
    <xf numFmtId="0" fontId="0" fillId="33" borderId="18" xfId="0" quotePrefix="1" applyFill="1" applyBorder="1" applyAlignment="1">
      <alignment horizontal="left" vertical="center" wrapText="1"/>
    </xf>
    <xf numFmtId="0" fontId="0" fillId="33" borderId="18" xfId="0" applyFill="1" applyBorder="1" applyAlignment="1">
      <alignment vertical="center" wrapText="1"/>
    </xf>
    <xf numFmtId="0" fontId="0" fillId="33" borderId="18" xfId="0" applyFill="1" applyBorder="1" applyAlignment="1">
      <alignment horizontal="left" vertical="center" wrapText="1"/>
    </xf>
    <xf numFmtId="0" fontId="0" fillId="33" borderId="18" xfId="0" quotePrefix="1" applyFill="1" applyBorder="1" applyAlignment="1">
      <alignment vertical="center" wrapText="1"/>
    </xf>
    <xf numFmtId="0" fontId="0" fillId="33" borderId="18" xfId="0" applyFill="1" applyBorder="1" applyAlignment="1">
      <alignment horizontal="left" vertical="center"/>
    </xf>
    <xf numFmtId="0" fontId="0" fillId="33" borderId="18" xfId="0" applyFill="1" applyBorder="1" applyAlignment="1">
      <alignment vertical="center"/>
    </xf>
    <xf numFmtId="0" fontId="16" fillId="35" borderId="18" xfId="0" applyFont="1" applyFill="1" applyBorder="1" applyAlignment="1">
      <alignment vertical="center"/>
    </xf>
    <xf numFmtId="0" fontId="16" fillId="33" borderId="18" xfId="0" quotePrefix="1" applyFont="1" applyFill="1" applyBorder="1" applyAlignment="1">
      <alignment horizontal="left" vertical="center" wrapText="1"/>
    </xf>
    <xf numFmtId="0" fontId="16" fillId="33" borderId="18" xfId="0" applyFont="1" applyFill="1" applyBorder="1" applyAlignment="1">
      <alignment vertical="center" wrapText="1"/>
    </xf>
    <xf numFmtId="0" fontId="16" fillId="35" borderId="18" xfId="0" applyFont="1" applyFill="1" applyBorder="1" applyAlignment="1">
      <alignment vertical="center" wrapText="1"/>
    </xf>
    <xf numFmtId="0" fontId="16" fillId="34" borderId="0" xfId="0" applyFont="1" applyFill="1" applyAlignment="1">
      <alignment horizontal="center" vertical="center"/>
    </xf>
    <xf numFmtId="0" fontId="16" fillId="35" borderId="18" xfId="0" applyFont="1" applyFill="1" applyBorder="1" applyAlignment="1">
      <alignment horizontal="center" vertical="center"/>
    </xf>
    <xf numFmtId="0" fontId="16" fillId="33" borderId="18" xfId="0" applyFont="1" applyFill="1" applyBorder="1" applyAlignment="1">
      <alignment horizontal="center" vertical="center"/>
    </xf>
    <xf numFmtId="0" fontId="0" fillId="35" borderId="0" xfId="0" applyFill="1" applyAlignment="1">
      <alignment horizontal="center" vertical="center"/>
    </xf>
    <xf numFmtId="0" fontId="16" fillId="35" borderId="0" xfId="0" applyFont="1" applyFill="1" applyAlignment="1">
      <alignment horizontal="center" vertical="center"/>
    </xf>
    <xf numFmtId="0" fontId="16" fillId="33" borderId="10" xfId="0" applyFont="1" applyFill="1" applyBorder="1" applyAlignment="1">
      <alignment horizontal="center" vertical="center" wrapText="1"/>
    </xf>
    <xf numFmtId="0" fontId="16" fillId="33" borderId="11" xfId="0" applyFont="1" applyFill="1" applyBorder="1" applyAlignment="1">
      <alignment horizontal="center" vertical="center" wrapText="1"/>
    </xf>
    <xf numFmtId="0" fontId="16" fillId="33" borderId="12" xfId="0" applyFont="1" applyFill="1" applyBorder="1" applyAlignment="1">
      <alignment horizontal="center" vertical="center" wrapText="1"/>
    </xf>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5" borderId="16" xfId="0" applyFont="1" applyFill="1" applyBorder="1" applyAlignment="1">
      <alignment vertical="center"/>
    </xf>
    <xf numFmtId="0" fontId="16" fillId="35" borderId="17" xfId="0" applyFont="1" applyFill="1" applyBorder="1" applyAlignment="1">
      <alignment vertical="center"/>
    </xf>
    <xf numFmtId="0" fontId="16" fillId="35" borderId="10" xfId="0" applyFont="1" applyFill="1" applyBorder="1" applyAlignment="1">
      <alignment horizontal="center" vertical="center" wrapText="1"/>
    </xf>
    <xf numFmtId="0" fontId="16" fillId="35" borderId="11" xfId="0" applyFont="1" applyFill="1" applyBorder="1" applyAlignment="1">
      <alignment horizontal="center" vertical="center" wrapText="1"/>
    </xf>
    <xf numFmtId="0" fontId="16" fillId="35" borderId="12" xfId="0" applyFont="1" applyFill="1" applyBorder="1" applyAlignment="1">
      <alignment horizontal="center" vertical="center" wrapText="1"/>
    </xf>
    <xf numFmtId="0" fontId="0" fillId="33" borderId="15" xfId="0" applyFill="1" applyBorder="1" applyAlignment="1">
      <alignment horizontal="center" vertical="center" wrapText="1"/>
    </xf>
    <xf numFmtId="0" fontId="0" fillId="33" borderId="16" xfId="0" applyFill="1" applyBorder="1" applyAlignment="1">
      <alignment horizontal="center" vertical="center" wrapText="1"/>
    </xf>
    <xf numFmtId="0" fontId="0" fillId="33" borderId="17" xfId="0" applyFill="1" applyBorder="1" applyAlignment="1">
      <alignment horizontal="center" vertical="center" wrapText="1"/>
    </xf>
    <xf numFmtId="0" fontId="0" fillId="35" borderId="0" xfId="0" applyFill="1" applyAlignment="1">
      <alignment vertical="center" wrapText="1"/>
    </xf>
    <xf numFmtId="0" fontId="0" fillId="35" borderId="14" xfId="0" applyFill="1" applyBorder="1" applyAlignment="1">
      <alignment vertical="center" wrapText="1"/>
    </xf>
    <xf numFmtId="0" fontId="0" fillId="35" borderId="0" xfId="0" applyFill="1" applyAlignment="1">
      <alignment vertical="center"/>
    </xf>
    <xf numFmtId="0" fontId="0" fillId="35" borderId="14" xfId="0" applyFill="1" applyBorder="1" applyAlignment="1">
      <alignment vertical="center"/>
    </xf>
    <xf numFmtId="0" fontId="0" fillId="34" borderId="0" xfId="0" applyFill="1" applyAlignment="1">
      <alignment horizontal="center" vertical="center"/>
    </xf>
    <xf numFmtId="0" fontId="0" fillId="33" borderId="0" xfId="0" applyFill="1" applyAlignment="1">
      <alignment horizontal="center" vertical="center"/>
    </xf>
    <xf numFmtId="0" fontId="0" fillId="33" borderId="0" xfId="0" quotePrefix="1" applyFill="1" applyAlignment="1">
      <alignment horizontal="center" vertical="center" wrapText="1"/>
    </xf>
    <xf numFmtId="0" fontId="16" fillId="33" borderId="10" xfId="0" applyFont="1" applyFill="1" applyBorder="1" applyAlignment="1">
      <alignment horizontal="left" vertical="center"/>
    </xf>
    <xf numFmtId="0" fontId="16" fillId="33" borderId="11" xfId="0" applyFont="1" applyFill="1" applyBorder="1" applyAlignment="1">
      <alignment horizontal="left" vertical="center"/>
    </xf>
    <xf numFmtId="0" fontId="16" fillId="33" borderId="12" xfId="0" applyFont="1" applyFill="1" applyBorder="1" applyAlignment="1">
      <alignment horizontal="left" vertical="center"/>
    </xf>
    <xf numFmtId="0" fontId="16" fillId="0" borderId="0" xfId="0" applyFont="1" applyAlignment="1">
      <alignment horizontal="center" vertical="center"/>
    </xf>
    <xf numFmtId="0" fontId="16" fillId="33"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69DBC396-1214-47AE-AC5D-ED7513A72CE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polymtlca0-my.sharepoint.com/personal/marin_pellan_polymtlus_ca/Documents/Desktop/POST_DOC/Project/regional_minerals_sustainability/data/LCI/rsc/Merged_Literature_Collection.xlsx" TargetMode="External"/><Relationship Id="rId1" Type="http://schemas.openxmlformats.org/officeDocument/2006/relationships/externalLinkPath" Target="Merged_Literature_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balt Peripheral Studies"/>
      <sheetName val="Cobalt Qualified Studies"/>
      <sheetName val="Graphite Peripheral Studies"/>
      <sheetName val="Graphite Qualified Studies"/>
      <sheetName val="Lithium Peripheral Studies"/>
      <sheetName val="Lithium Qualified Studies"/>
      <sheetName val="Nickel Peripheral Studies"/>
      <sheetName val="Nickel Qualified Studies"/>
    </sheetNames>
    <sheetDataSet>
      <sheetData sheetId="0">
        <row r="1">
          <cell r="A1" t="str">
            <v>Source</v>
          </cell>
          <cell r="B1" t="str">
            <v>Titel</v>
          </cell>
          <cell r="C1" t="str">
            <v>Link</v>
          </cell>
          <cell r="D1" t="str">
            <v>Source type</v>
          </cell>
          <cell r="E1" t="str">
            <v>Total emissions</v>
          </cell>
          <cell r="F1" t="str">
            <v>Primary data?</v>
          </cell>
          <cell r="G1" t="str">
            <v>Functional unit?</v>
          </cell>
          <cell r="H1" t="str">
            <v>System boundaries</v>
          </cell>
          <cell r="I1" t="str">
            <v>Methodological transparency</v>
          </cell>
          <cell r="J1" t="str">
            <v>Process / ore type?</v>
          </cell>
        </row>
        <row r="2">
          <cell r="A2" t="str">
            <v>Chordia et al (2021)</v>
          </cell>
          <cell r="B2" t="str">
            <v xml:space="preserve">Environmental life cycle implications of upscaling lithium-ion battery production
</v>
          </cell>
          <cell r="C2" t="str">
            <v>https://doi.org/10.1007/s11367-021-01976-0</v>
          </cell>
          <cell r="D2" t="str">
            <v>Literature</v>
          </cell>
          <cell r="E2" t="str">
            <v>The Small-3.7 model coupled to the reference scenario and exclusively primary metals results in 188 kg CO2-eq./kWh of total greenhouse gas (GHG) emissions, which reduce to 109 kg CO2-eq./kWh for the Giga-3.7 model. Further, when the Giga-3.7 model is coupled to the low-carbon scenario, the impacts reduce to 50 kg CO2-eq./kWh. The choice of using primary metals over recycled content has a relatively minor influence on global warming impacts in this study.</v>
          </cell>
          <cell r="F2" t="str">
            <v>partially 
Ecoinvent v3.7.1 + updated data → comments</v>
          </cell>
          <cell r="G2" t="str">
            <v>1 kWh storage capacity</v>
          </cell>
          <cell r="H2" t="str">
            <v>see screenshot</v>
          </cell>
          <cell r="I2" t="str">
            <v>+ transparent</v>
          </cell>
          <cell r="J2" t="str">
            <v>Cobalt sulfate</v>
          </cell>
        </row>
        <row r="3">
          <cell r="A3" t="str">
            <v>Jiao et al (2020)</v>
          </cell>
          <cell r="B3" t="str">
            <v>Environmental Impacts Assessment of NCM Cathode Material
Production of Power Lithium-Ion Batteries</v>
          </cell>
          <cell r="C3" t="str">
            <v>https://doi.org/10.4028/www.scientific.net/MSF.993.1456</v>
          </cell>
          <cell r="D3" t="str">
            <v>Literature</v>
          </cell>
          <cell r="E3" t="str">
            <v>-</v>
          </cell>
          <cell r="F3" t="str">
            <v>partially → say they did survey with manufacturers in Qingdao, China but data mainly from other sources</v>
          </cell>
          <cell r="G3" t="str">
            <v>1 kg of NCM</v>
          </cell>
          <cell r="H3" t="str">
            <v>see screenshot</v>
          </cell>
          <cell r="I3" t="str">
            <v>+ transparent, - intransparent</v>
          </cell>
          <cell r="J3" t="str">
            <v>Cobalt sulfate</v>
          </cell>
        </row>
        <row r="4">
          <cell r="A4" t="str">
            <v>Kelly et al. (2020)</v>
          </cell>
          <cell r="B4" t="str">
            <v>Globally regional life cycle analysis of automotive lithium-ion nickel manganese cobalt batteries</v>
          </cell>
          <cell r="C4" t="str">
            <v>https://doi.org/10.1007/s11027-019-09869-2</v>
          </cell>
          <cell r="D4" t="str">
            <v>Literature</v>
          </cell>
          <cell r="E4" t="str">
            <v>no values for CoSo4 but for sure calculated → screenshot</v>
          </cell>
          <cell r="F4" t="str">
            <v>they used GREET but uses regional electricity mixes and supply chains</v>
          </cell>
          <cell r="G4" t="str">
            <v xml:space="preserve">1 kWh → comment
</v>
          </cell>
          <cell r="H4" t="str">
            <v>Screenshot</v>
          </cell>
          <cell r="I4" t="str">
            <v>- intransparent</v>
          </cell>
          <cell r="J4" t="str">
            <v>Cobalt sulfate</v>
          </cell>
        </row>
        <row r="5">
          <cell r="A5" t="str">
            <v>Farjana et al. (2019)</v>
          </cell>
          <cell r="B5" t="str">
            <v>Life cycle assessment of cobalt extraction process</v>
          </cell>
          <cell r="C5" t="str">
            <v>https://doi.org/10.1016/j.jsm.2019.03.002</v>
          </cell>
          <cell r="D5" t="str">
            <v>Literature</v>
          </cell>
          <cell r="E5" t="str">
            <v>11.73 kg CO2 eq. per kg cobalt</v>
          </cell>
          <cell r="F5" t="str">
            <v>no → Ecoinvent v2.2</v>
          </cell>
          <cell r="G5" t="str">
            <v>1 kg of cobalt</v>
          </cell>
          <cell r="H5" t="str">
            <v>cradle to gate → screenshot</v>
          </cell>
          <cell r="I5" t="str">
            <v>+ transparent</v>
          </cell>
          <cell r="J5" t="str">
            <v>Cobalt-copper ore, Cobalt-nickel ore</v>
          </cell>
        </row>
        <row r="6">
          <cell r="A6" t="str">
            <v>Lawrén (2019)</v>
          </cell>
          <cell r="B6" t="str">
            <v>Life cycle assessment of nickel-rich
lithium-ion battery for electric vehicles</v>
          </cell>
          <cell r="C6" t="str">
            <v>https://hdl.handle.net/20.500.12380/300644</v>
          </cell>
          <cell r="E6" t="str">
            <v>7.2 kg CO2 eq. per kg cobalt</v>
          </cell>
          <cell r="F6" t="str">
            <v>probably not → inventory from Dai et al. (2018)</v>
          </cell>
          <cell r="G6" t="str">
            <v>Study: 1 kWh of the total energy provided over the service life by the battery system
GWP: kg cobalt</v>
          </cell>
          <cell r="H6" t="str">
            <v>cradle to grave → screenshot</v>
          </cell>
          <cell r="I6" t="str">
            <v>+ transparent</v>
          </cell>
          <cell r="J6" t="str">
            <v>Cobalt sulfate</v>
          </cell>
        </row>
        <row r="7">
          <cell r="A7" t="str">
            <v>Dai et al. (2018)</v>
          </cell>
          <cell r="B7" t="str">
            <v>Cobalt Life Cycle Analysis Update for the GREET Model</v>
          </cell>
          <cell r="C7" t="str">
            <v>https://greet.es.anl.gov/publications</v>
          </cell>
          <cell r="D7" t="str">
            <v>Report</v>
          </cell>
          <cell r="E7" t="str">
            <v>no value for total GWP but for non-fuel combustion process emissions.</v>
          </cell>
          <cell r="F7" t="str">
            <v>yes → collected primary data from mines in DRC and processing plants in China</v>
          </cell>
          <cell r="G7" t="str">
            <v>per kg cobalt product</v>
          </cell>
          <cell r="H7" t="str">
            <v>screenshot</v>
          </cell>
          <cell r="I7" t="str">
            <v>++ transparent</v>
          </cell>
          <cell r="J7" t="str">
            <v>Cobalt sulfate, Cobalt-copper ore, Cobalt-nickel ore</v>
          </cell>
        </row>
        <row r="8">
          <cell r="A8" t="str">
            <v>Falcone et al. (2022)</v>
          </cell>
          <cell r="B8" t="str">
            <v>Life Cycle Assessment of a Lithium-Ion Battery Pack Unit Made of Cylindrical Cells</v>
          </cell>
          <cell r="C8" t="str">
            <v>https://doi.org/10.3390/batteries8080076</v>
          </cell>
          <cell r="D8" t="str">
            <v>Literature</v>
          </cell>
          <cell r="E8" t="str">
            <v>GWPs,Co = 38 kgCO2/kgCo (cite Cobalt Institute)</v>
          </cell>
          <cell r="F8" t="str">
            <v>probably no → cite Cobalt Institute</v>
          </cell>
          <cell r="G8" t="str">
            <v>kg cobalt</v>
          </cell>
          <cell r="H8" t="str">
            <v>screenshot</v>
          </cell>
          <cell r="I8" t="str">
            <v>-- intransparent</v>
          </cell>
          <cell r="J8" t="str">
            <v>Cobalt sulfate</v>
          </cell>
        </row>
        <row r="9">
          <cell r="A9" t="str">
            <v>First Cobalt Corp.</v>
          </cell>
          <cell r="B9" t="str">
            <v>First Cobalt Releases Refinery Life Cycle Assessment</v>
          </cell>
          <cell r="C9" t="str">
            <v>https://electrabmc.com/3061/
https://electrabmc.com/wp-content/uploads/2023/02/20221220-Sustainability-Report-2022_vfinal-1.pdf</v>
          </cell>
          <cell r="D9" t="str">
            <v>Report</v>
          </cell>
          <cell r="E9" t="str">
            <v>1.58 kg CO2 eq per kilogram of cobalt sulfate</v>
          </cell>
          <cell r="F9" t="str">
            <v>maybe own factory data but also ecoinvent → in methdological transparency</v>
          </cell>
          <cell r="G9" t="str">
            <v>kg of cobalt sulfate</v>
          </cell>
          <cell r="H9" t="str">
            <v>gate to gate (comments)</v>
          </cell>
          <cell r="I9" t="str">
            <v>-- intransparent</v>
          </cell>
          <cell r="J9" t="str">
            <v>Cobalt sulfate</v>
          </cell>
        </row>
        <row r="10">
          <cell r="A10" t="str">
            <v>Winjobi et al (2022)</v>
          </cell>
          <cell r="B10" t="str">
            <v>Life-cycle analysis, by global region, of automotive lithium-ion nickel manganese cobalt batteries of varying nickel content</v>
          </cell>
          <cell r="C10" t="str">
            <v>https://doi.org/10.1016/j.susmat.2022.e00415</v>
          </cell>
          <cell r="D10" t="str">
            <v>Literature</v>
          </cell>
          <cell r="E10" t="str">
            <v>6,731 kg CO2eq/kg (see SI Table S13)</v>
          </cell>
          <cell r="F10" t="str">
            <v>probably no</v>
          </cell>
          <cell r="G10" t="str">
            <v xml:space="preserve">1kWh of battery capacity
</v>
          </cell>
          <cell r="H10" t="str">
            <v>see screenshot</v>
          </cell>
          <cell r="I10" t="str">
            <v>- intransparent</v>
          </cell>
          <cell r="J10" t="str">
            <v>Cobalt sulfate</v>
          </cell>
        </row>
        <row r="11">
          <cell r="A11" t="str">
            <v>Accardo et al. (2021)</v>
          </cell>
          <cell r="B11" t="str">
            <v>Life Cycle Assessment of an NMC Battery for Application to Electric Light-Duty Commercial Vehicles and Comparison with a Sodium-Nickel-Chloride Battery</v>
          </cell>
          <cell r="C11" t="str">
            <v>https://doi.org/10.3390/app11031160</v>
          </cell>
          <cell r="D11" t="str">
            <v>Literature</v>
          </cell>
          <cell r="E11" t="str">
            <v>9,64E+00 kg CO2 eq per kWh
1,50E+00 kg CO2 eq per kg battery pack</v>
          </cell>
          <cell r="F11" t="str">
            <v>partially → Inventory from Argonne National laboratory with updated primary data; Emissions from Ecoinvent 3.6</v>
          </cell>
          <cell r="G11" t="str">
            <v>1 kWh of nominal energy capacity of the battery pack</v>
          </cell>
          <cell r="H11" t="str">
            <v>Screenshot</v>
          </cell>
          <cell r="I11" t="str">
            <v>- intransparent</v>
          </cell>
          <cell r="J11" t="str">
            <v>Cobalt sulfate</v>
          </cell>
        </row>
        <row r="12">
          <cell r="A12" t="str">
            <v xml:space="preserve">Dai et al. (2019) </v>
          </cell>
          <cell r="B12" t="str">
            <v>Life Cycle Analysis of Lithium-Ion Batteries for Automotive Applications</v>
          </cell>
          <cell r="C12" t="str">
            <v>https://doi.org/10.3390/batteries5020048</v>
          </cell>
          <cell r="D12" t="str">
            <v>Literature</v>
          </cell>
          <cell r="E12" t="str">
            <v xml:space="preserve">3.79 kg CO2e per kg NMC111 powder </v>
          </cell>
          <cell r="F12" t="str">
            <v>unclear: say they update GREET with new industrial data</v>
          </cell>
          <cell r="G12" t="str">
            <v>study: 1kWh; for GWP of CoSO4: per kg NMC111 powder</v>
          </cell>
          <cell r="H12" t="str">
            <v>see screenshot</v>
          </cell>
          <cell r="I12" t="str">
            <v>- intransparent</v>
          </cell>
          <cell r="J12" t="str">
            <v>Cobalt sulfate</v>
          </cell>
        </row>
        <row r="13">
          <cell r="A13" t="str">
            <v>Wu et al. (2019)</v>
          </cell>
          <cell r="B13" t="str">
            <v>Superior “green” electrode materials for secondary batteries: through the footprint family indicators to analyze their environmental friendliness</v>
          </cell>
          <cell r="C13" t="str">
            <v>https://doi.org/10.1007/s11356-019-06865-6</v>
          </cell>
          <cell r="D13" t="str">
            <v>Literature</v>
          </cell>
          <cell r="E13" t="str">
            <v xml:space="preserve">LiNi1/3Co1/3Mn1/3O2 → Co responsible for 11.35% of 19.559 kg CO2 eq per kg cathode material → 2,22 kg CO2 eq per kg cathode materials 
LiNi0.8Co0.2O2 → Co responsible for 6,42% of 20,555 kg CO2 eq per kg cathode material → 1,32 kg CO2 eq per kg cathode materials
</v>
          </cell>
          <cell r="F13" t="str">
            <v>yes → “The research data are collected in accordance with the relation of production process, to ensure the representativeness, accuracy, and comparability of the data.”</v>
          </cell>
          <cell r="G13" t="str">
            <v>1 kg cathode material</v>
          </cell>
          <cell r="H13" t="str">
            <v>“The system boundary is from raw material acquisition, processing, and producing except for recycling process”</v>
          </cell>
          <cell r="I13" t="str">
            <v>-- intransparent</v>
          </cell>
          <cell r="J13" t="str">
            <v>Cobalt</v>
          </cell>
        </row>
      </sheetData>
      <sheetData sheetId="1">
        <row r="1">
          <cell r="A1" t="str">
            <v>Source</v>
          </cell>
          <cell r="B1" t="str">
            <v>Title</v>
          </cell>
          <cell r="C1" t="str">
            <v>Link</v>
          </cell>
          <cell r="D1" t="str">
            <v>Source type</v>
          </cell>
          <cell r="E1" t="str">
            <v>Total emissions [kgCO2eq/kg]</v>
          </cell>
          <cell r="F1" t="str">
            <v>Harmonised emissions kg_CO2eq/kg_CoSO4_anhydrous]</v>
          </cell>
          <cell r="G1" t="str">
            <v>Primary data?</v>
          </cell>
          <cell r="H1" t="str">
            <v>Functional unit?</v>
          </cell>
          <cell r="I1" t="str">
            <v>System boundaries</v>
          </cell>
          <cell r="J1" t="str">
            <v>Methodological transparency</v>
          </cell>
          <cell r="K1" t="str">
            <v>Process / ore type?</v>
          </cell>
          <cell r="L1" t="str">
            <v>Found via</v>
          </cell>
          <cell r="M1" t="str">
            <v>Location of production</v>
          </cell>
          <cell r="N1" t="str">
            <v>Mine</v>
          </cell>
        </row>
        <row r="2">
          <cell r="A2" t="str">
            <v>Zhang et al. (2021)</v>
          </cell>
          <cell r="B2" t="str">
            <v>Cradle-to-gate life cycle assessment of cobalt sulfate production derived from a nickel–copper–cobalt mine in China.</v>
          </cell>
          <cell r="C2" t="str">
            <v>https://doi.org/10.1007/s11367-021-01925-x</v>
          </cell>
          <cell r="D2" t="str">
            <v>Literature</v>
          </cell>
          <cell r="E2" t="str">
            <v>3.56 × 10⁴ kg CO2-eq / ton CoSO4.7(H2O)</v>
          </cell>
          <cell r="F2" t="str">
            <v>64.56 kg_CO2e/kg_CoSO4_anh</v>
          </cell>
          <cell r="G2" t="str">
            <v xml:space="preserve"> Yes
They used actual operation data for mining and benefication, for cobalt concentration data from an experiment (https://doi.org/10.3969/j.issn.1671-9492.2018.05.005), secondary data support from CPLCID + Ecoinvent adjusted to chinese state quo to bridge data gaps.</v>
          </cell>
          <cell r="H2" t="str">
            <v>1 ton CoSO4.7(H2O)</v>
          </cell>
          <cell r="I2" t="str">
            <v>see screenshot</v>
          </cell>
          <cell r="J2" t="str">
            <v>++ transparent</v>
          </cell>
          <cell r="K2" t="str">
            <v>Cobalt sulfate, Cobalt-copper ores, Cobalt-nickel ores</v>
          </cell>
          <cell r="L2" t="str">
            <v>systematic lit rev</v>
          </cell>
          <cell r="M2" t="str">
            <v>China</v>
          </cell>
          <cell r="N2" t="str">
            <v>Kalatongke Mine</v>
          </cell>
        </row>
        <row r="3">
          <cell r="A3" t="str">
            <v>Cobalt Institute (2019)</v>
          </cell>
          <cell r="B3" t="str">
            <v>Cobalt Life Cycle Assessment</v>
          </cell>
          <cell r="C3" t="str">
            <v>https://www.cobaltinstitute.org/sustainability/life-cycle-assessment/</v>
          </cell>
          <cell r="D3" t="str">
            <v>Report</v>
          </cell>
          <cell r="E3" t="str">
            <v>4,0 kg CO2 eq. / kg CoSO4.7(H2O)</v>
          </cell>
          <cell r="F3" t="str">
            <v>7.25 kg_CO2e/kg_CoSO4_anh</v>
          </cell>
          <cell r="G3" t="str">
            <v>Yes</v>
          </cell>
          <cell r="H3" t="str">
            <v>1 kg CoSO4.7(H2O)</v>
          </cell>
          <cell r="I3" t="str">
            <v>cradle-to-gate</v>
          </cell>
          <cell r="J3" t="str">
            <v>++ transparent</v>
          </cell>
          <cell r="K3" t="str">
            <v>Cobalt sulfate</v>
          </cell>
          <cell r="L3" t="str">
            <v>google search</v>
          </cell>
          <cell r="M3" t="str">
            <v>Global</v>
          </cell>
          <cell r="N3" t="str">
            <v>Industry average</v>
          </cell>
        </row>
        <row r="4">
          <cell r="A4" t="str">
            <v>Crenna et al. (2021)</v>
          </cell>
          <cell r="B4" t="str">
            <v>Towards more flexibility and transparency in life cycle inventories for Lithium-ion batteries</v>
          </cell>
          <cell r="C4" t="str">
            <v>https://doi.org/10.1016/j.resconrec.2021.105619</v>
          </cell>
          <cell r="D4" t="str">
            <v>Literature</v>
          </cell>
          <cell r="E4" t="str">
            <v>9.46kg CO2 eq per 1 kg CoSO4 anh</v>
          </cell>
          <cell r="F4" t="str">
            <v>9.46 kg_CO2e/kg_CoSO4_anh</v>
          </cell>
          <cell r="G4" t="str">
            <v>partially → comments</v>
          </cell>
          <cell r="H4" t="str">
            <v>1 kg CoSO4 anhydrous  (hypothesized bcs of close connection to ecoinvent which uses anhydrous compounds)</v>
          </cell>
          <cell r="I4" t="str">
            <v>cradle to gate</v>
          </cell>
          <cell r="J4" t="str">
            <v>-- intransparent</v>
          </cell>
          <cell r="K4" t="str">
            <v>Cobalt sulfate, Cobalt-copper ores</v>
          </cell>
          <cell r="L4" t="str">
            <v>connectedpapers.com</v>
          </cell>
          <cell r="M4" t="str">
            <v>China, DRC</v>
          </cell>
          <cell r="N4" t="str">
            <v>Not specified</v>
          </cell>
        </row>
        <row r="5">
          <cell r="A5" t="str">
            <v>Rinne et al. (2021)</v>
          </cell>
          <cell r="B5" t="str">
            <v>Life cycle assessment and process simulation of prospective battery-grade cobalt sulfate production from Co-Au ores in Finland</v>
          </cell>
          <cell r="C5" t="str">
            <v>https://doi.org/10.1007/s11367-021-01965-3</v>
          </cell>
          <cell r="D5" t="str">
            <v>Literature</v>
          </cell>
          <cell r="E5" t="str">
            <v xml:space="preserve">20.9 kg CO2-eq / kg CoSO4.7(H2O) </v>
          </cell>
          <cell r="F5" t="str">
            <v>37.90 kg_CO2e/kg_CoSO4_anh</v>
          </cell>
          <cell r="G5" t="str">
            <v>modelled LCI based on literature review</v>
          </cell>
          <cell r="H5" t="str">
            <v>1 kg CoSO4.7(H2O)</v>
          </cell>
          <cell r="I5" t="str">
            <v>see screenshot</v>
          </cell>
          <cell r="J5" t="str">
            <v>++ transparent</v>
          </cell>
          <cell r="K5" t="str">
            <v>Co-Au ores, Cobalt sulfate</v>
          </cell>
          <cell r="L5" t="str">
            <v>systematic lit rev</v>
          </cell>
          <cell r="M5" t="str">
            <v>Finland</v>
          </cell>
          <cell r="N5" t="str">
            <v>Rajapalot gold-cobalt prospect</v>
          </cell>
        </row>
        <row r="6">
          <cell r="A6" t="str">
            <v>Bollwein (2022)</v>
          </cell>
          <cell r="B6" t="str">
            <v>Comparative life cycle assessment of prospective battery-grade material production in Norway</v>
          </cell>
          <cell r="C6" t="str">
            <v>https://hdl.handle.net/11250/3023809</v>
          </cell>
          <cell r="D6" t="str">
            <v>Report</v>
          </cell>
          <cell r="E6" t="str">
            <v>7.69 kgCO2eq. / kg CoSO4 anh</v>
          </cell>
          <cell r="F6" t="str">
            <v>7.69 kg_CO2e/kg_CoSO4_anh</v>
          </cell>
          <cell r="G6" t="str">
            <v>yes</v>
          </cell>
          <cell r="H6" t="str">
            <v xml:space="preserve">1 kg CoSO4 anhydrous  (hypothesized)
</v>
          </cell>
          <cell r="I6" t="str">
            <v>screenshot</v>
          </cell>
          <cell r="J6" t="str">
            <v>+ transparent</v>
          </cell>
          <cell r="K6" t="str">
            <v>Cobalt sulfate</v>
          </cell>
          <cell r="L6" t="str">
            <v>google search</v>
          </cell>
          <cell r="M6" t="str">
            <v>Canada, Norway</v>
          </cell>
          <cell r="N6" t="str">
            <v>Glencore Nikkelverk</v>
          </cell>
        </row>
        <row r="7">
          <cell r="A7" t="str">
            <v xml:space="preserve">Ecoinvent 3.9.1 </v>
          </cell>
          <cell r="B7" t="str">
            <v>cobalt sulfate production</v>
          </cell>
          <cell r="C7" t="str">
            <v>https://ecoquery.ecoinvent.org/3.9.1/cutoff/dataset/25117/documentation</v>
          </cell>
          <cell r="D7" t="str">
            <v>Database</v>
          </cell>
          <cell r="E7" t="str">
            <v>28.89 CO2-eq / kg CoSO4 anh</v>
          </cell>
          <cell r="F7" t="str">
            <v>28.89 kg_CO2e/kg_CoSO4_anh</v>
          </cell>
          <cell r="G7" t="str">
            <v xml:space="preserve">no → estimated from Dai et al. (2018) </v>
          </cell>
          <cell r="H7" t="str">
            <v>1 kg CoSO4 anhydrous (hypothesized based on ANL)</v>
          </cell>
          <cell r="I7" t="str">
            <v>cradle-to-gate</v>
          </cell>
          <cell r="J7" t="str">
            <v>++ transparent</v>
          </cell>
          <cell r="K7" t="str">
            <v>Cobalt hydroxide, Cobalt sulfate</v>
          </cell>
          <cell r="L7" t="str">
            <v>google search</v>
          </cell>
          <cell r="M7" t="str">
            <v>China</v>
          </cell>
          <cell r="N7" t="str">
            <v>Huayou Cobalt Co. Ltd.</v>
          </cell>
        </row>
        <row r="8">
          <cell r="A8" t="str">
            <v>GREET 2022 [econ-alloc]</v>
          </cell>
          <cell r="B8" t="str">
            <v xml:space="preserve">Refined CoSO4 Production - Economic Value Allocation
</v>
          </cell>
          <cell r="C8" t="str">
            <v>https://greet.anl.gov/</v>
          </cell>
          <cell r="D8" t="str">
            <v>Database</v>
          </cell>
          <cell r="E8" t="str">
            <v>9.7 CO2-eq / kg CoSO4 anh</v>
          </cell>
          <cell r="F8" t="str">
            <v>9.7 kg_CO2e/kg_CoSO4_anh</v>
          </cell>
          <cell r="H8" t="str">
            <v>1 kg cobalt sulfate anhydrous</v>
          </cell>
          <cell r="K8" t="str">
            <v>Cobalt sulfate</v>
          </cell>
          <cell r="L8" t="str">
            <v>google search</v>
          </cell>
          <cell r="M8" t="str">
            <v>China, DRC</v>
          </cell>
          <cell r="N8" t="str">
            <v>Kamoto, Mutanda, Tenke Fungurume</v>
          </cell>
        </row>
        <row r="9">
          <cell r="A9" t="str">
            <v>GREET 2022 [mass-alloc]</v>
          </cell>
          <cell r="B9" t="str">
            <v xml:space="preserve">Refined CoSO4 Production - Economic Value Allocation
</v>
          </cell>
          <cell r="C9" t="str">
            <v>https://greet.anl.gov/</v>
          </cell>
          <cell r="D9" t="str">
            <v>Database</v>
          </cell>
          <cell r="E9" t="str">
            <v>6.9 CO2-eq / kg CoSO4 anh</v>
          </cell>
          <cell r="F9" t="str">
            <v>6.9 kg_CO2e/kg_CoSO4_anh</v>
          </cell>
          <cell r="H9" t="str">
            <v>1 kg cobalt sulfate anhydrous</v>
          </cell>
          <cell r="K9" t="str">
            <v>Cobalt sulfate</v>
          </cell>
          <cell r="L9" t="str">
            <v>google search</v>
          </cell>
          <cell r="M9" t="str">
            <v>China, DRC</v>
          </cell>
          <cell r="N9" t="str">
            <v>Kamoto, Mutanda, Tenke Fungurume</v>
          </cell>
        </row>
      </sheetData>
      <sheetData sheetId="2">
        <row r="1">
          <cell r="A1" t="str">
            <v>Source</v>
          </cell>
          <cell r="B1" t="str">
            <v>Title</v>
          </cell>
          <cell r="C1" t="str">
            <v>Link</v>
          </cell>
          <cell r="D1" t="str">
            <v>Source type</v>
          </cell>
          <cell r="E1" t="str">
            <v>Total emissions</v>
          </cell>
          <cell r="F1" t="str">
            <v>Primary data?</v>
          </cell>
          <cell r="G1" t="str">
            <v>Functional unit?</v>
          </cell>
          <cell r="H1" t="str">
            <v>System boundaries</v>
          </cell>
          <cell r="I1" t="str">
            <v>Methodological transparency</v>
          </cell>
          <cell r="J1" t="str">
            <v>Process / ore type?</v>
          </cell>
        </row>
        <row r="2">
          <cell r="A2" t="str">
            <v>Notter et al (2010)</v>
          </cell>
          <cell r="B2" t="str">
            <v>Contribution of Li-Ion Batteries to the Environmental Impact of Electric Vehicles</v>
          </cell>
          <cell r="C2" t="str">
            <v>https://doi.org/10.1021/es903729a</v>
          </cell>
          <cell r="D2" t="str">
            <v>Literature</v>
          </cell>
          <cell r="E2" t="str">
            <v>0.345 kg CO2eq/kg LIB
(see SI, Table S21; GWP)</v>
          </cell>
          <cell r="F2" t="str">
            <v>unclear</v>
          </cell>
          <cell r="G2" t="str">
            <v>for graphite: unclear
probably 1 kg of battery graphite (based on calculations Table S12)
for study: 1 km driven with vehicle (EV)</v>
          </cell>
          <cell r="H2" t="str">
            <v>paper covers vehicle production, use and disposal with a strong focus on LIBs
see input-output tables for foreground system for graphite-specific system boundaries 🙂</v>
          </cell>
          <cell r="I2" t="str">
            <v>- intransparent, -- intransparent</v>
          </cell>
          <cell r="J2" t="str">
            <v>Natural graphite, Synthetic graphite</v>
          </cell>
        </row>
        <row r="3">
          <cell r="A3" t="str">
            <v>Majeau-Bettez et al (2011)</v>
          </cell>
          <cell r="B3" t="str">
            <v>Life Cycle Environmental Assessment of Lithium-Ion and Nickel Metal Hydride Batteries for Plug-In Hybrid and Battery Electric Vehicles</v>
          </cell>
          <cell r="C3" t="str">
            <v>https://doi.org/10.1021/es103607c</v>
          </cell>
          <cell r="D3" t="str">
            <v>Literature</v>
          </cell>
          <cell r="E3" t="str">
            <v>unclear</v>
          </cell>
          <cell r="F3" t="str">
            <v>unclear</v>
          </cell>
          <cell r="G3" t="str">
            <v>“present the cradle-to-gate portion of our LCA in terms of battery mass (kg) and nominal energy capacity (Wh, at 1C-rate). Also, for the sake of giving an idea of the order of magnitude of our functional unit, we estimated the distance that could be driven with 50 MJ.”</v>
          </cell>
          <cell r="I3" t="str">
            <v>-- intransparent</v>
          </cell>
          <cell r="J3" t="str">
            <v>Unclear</v>
          </cell>
        </row>
        <row r="4">
          <cell r="A4" t="str">
            <v>Pehnt (2002)</v>
          </cell>
          <cell r="B4" t="str">
            <v>Holistic accounting of fuel cells in energy and transportation technology</v>
          </cell>
          <cell r="C4" t="str">
            <v>https://www.google.com/url?sa=t&amp;rct=j&amp;q=&amp;esrc=s&amp;source=web&amp;cd=&amp;ved=2ahUKEwjh9fiz4Mf-AhWRPewKHUBmDBYQFnoECAoQAQ&amp;url=https%3A%2F%2Fwww.ifeu.de%2Ffileadmin%2Fuploads%2Fdissertation_pehnt.pdf&amp;usg=AOvVaw0uDmJBX-ohjw-mW41NC-FG</v>
          </cell>
          <cell r="D4" t="str">
            <v>Report</v>
          </cell>
          <cell r="E4" t="str">
            <v>7.6 kg CO2eq/ ? (probably kg synthetic graphite ⇒ they say themselves that data quality is low here ⇒ only used for sensitivity analysis)
11.1 kg CO2eq/? (probably kg natural graphite from BRD)
13.5 kg CO2eq/? (probably kg natural graphite from Zimbabwe)</v>
          </cell>
          <cell r="F4" t="str">
            <v>unclear</v>
          </cell>
          <cell r="G4" t="str">
            <v>unclear</v>
          </cell>
          <cell r="H4" t="str">
            <v>-</v>
          </cell>
          <cell r="I4" t="str">
            <v>- intransparent, -- intransparent</v>
          </cell>
          <cell r="J4" t="str">
            <v>Natural graphite</v>
          </cell>
        </row>
        <row r="5">
          <cell r="A5" t="str">
            <v>Pell et al (2021)</v>
          </cell>
          <cell r="B5" t="str">
            <v>Climate impact of graphite production. Minviro.</v>
          </cell>
          <cell r="C5" t="str">
            <v>https://www.minviro.com/communications/</v>
          </cell>
          <cell r="D5" t="str">
            <v>Report</v>
          </cell>
          <cell r="E5" t="str">
            <v>-</v>
          </cell>
          <cell r="F5" t="str">
            <v>unclear</v>
          </cell>
          <cell r="G5" t="str">
            <v>kg anode grade graphite</v>
          </cell>
          <cell r="H5" t="str">
            <v>see screenshot</v>
          </cell>
          <cell r="I5" t="str">
            <v>- intransparent, -- intransparent</v>
          </cell>
          <cell r="J5" t="str">
            <v>Natural graphite, Synthetic graphite</v>
          </cell>
        </row>
        <row r="6">
          <cell r="A6" t="str">
            <v>Dai et al (2019)</v>
          </cell>
          <cell r="B6" t="str">
            <v>Life cycle analysis of lithium-ion batteries for automotive applications</v>
          </cell>
          <cell r="C6" t="str">
            <v>https://doi.org/10.3390/batteries5020048</v>
          </cell>
          <cell r="D6" t="str">
            <v>Literature</v>
          </cell>
          <cell r="E6" t="str">
            <v>4.86 kg CO2eq/kg material (für NMC battery…)</v>
          </cell>
          <cell r="F6" t="str">
            <v>no</v>
          </cell>
          <cell r="G6" t="str">
            <v>not specifically mentionned, but they calculate with 1kg of graphite</v>
          </cell>
          <cell r="H6" t="str">
            <v>see screenshot</v>
          </cell>
          <cell r="I6" t="str">
            <v>- intransparent</v>
          </cell>
          <cell r="J6" t="str">
            <v>Synthetic graphite</v>
          </cell>
        </row>
        <row r="7">
          <cell r="A7" t="str">
            <v>Dunn et al (2015)</v>
          </cell>
          <cell r="B7" t="str">
            <v>Material and Energy Flows in the Production of Cathode and Anode Materials for Lithium Ion Batteries</v>
          </cell>
          <cell r="C7" t="str">
            <v>https://doi.org/10.2172/1224963</v>
          </cell>
          <cell r="D7" t="str">
            <v>Report</v>
          </cell>
          <cell r="E7" t="str">
            <v>ca. 2.47
(see calculations Excel MA Schatzmann, 2023)</v>
          </cell>
          <cell r="F7" t="str">
            <v>no</v>
          </cell>
          <cell r="G7" t="str">
            <v>1 kg of synthetic graphite</v>
          </cell>
          <cell r="H7" t="str">
            <v>see screenshot in notes</v>
          </cell>
          <cell r="I7" t="str">
            <v>+ transparent, ++ transparent</v>
          </cell>
          <cell r="J7" t="str">
            <v>Synthetic graphite</v>
          </cell>
        </row>
        <row r="8">
          <cell r="A8" t="str">
            <v>Zhang et al (2018)</v>
          </cell>
          <cell r="B8" t="str">
            <v>Environment Impact Analysis of Natural Graphite Anode Material Production</v>
          </cell>
          <cell r="C8" t="str">
            <v>https://www.proquest.com/openview/7834d71a20a3cf153916c4eab5f4e926/1?pq-origsite=gscholar&amp;cbl=2040939</v>
          </cell>
          <cell r="D8" t="str">
            <v>Literature</v>
          </cell>
          <cell r="E8" t="str">
            <v>7.8 kgCO2-eq/kg (extracted with tool from fig. 2)</v>
          </cell>
          <cell r="F8" t="str">
            <v>maybe?
”The data of this study mainly come from the published literatures and the production process investigations of Chinese representative graphite enterprises”</v>
          </cell>
          <cell r="G8" t="str">
            <v>1 kg of natural graphite anode material</v>
          </cell>
          <cell r="H8" t="str">
            <v>see screenshot</v>
          </cell>
          <cell r="I8" t="str">
            <v>+ transparent, - intransparent</v>
          </cell>
          <cell r="J8" t="str">
            <v>Natural graphite</v>
          </cell>
        </row>
      </sheetData>
      <sheetData sheetId="3">
        <row r="1">
          <cell r="A1" t="str">
            <v>Source</v>
          </cell>
          <cell r="B1" t="str">
            <v>Title</v>
          </cell>
          <cell r="C1" t="str">
            <v>Link</v>
          </cell>
          <cell r="D1" t="str">
            <v>Source type</v>
          </cell>
          <cell r="E1" t="str">
            <v>Total emissions [kgCO2eq/kg]</v>
          </cell>
          <cell r="F1" t="str">
            <v>Harmonised emissions [kgCO2eq/kg]</v>
          </cell>
          <cell r="G1" t="str">
            <v>Primary data?</v>
          </cell>
          <cell r="H1" t="str">
            <v>Functional unit?</v>
          </cell>
          <cell r="I1" t="str">
            <v>System boundaries</v>
          </cell>
          <cell r="J1" t="str">
            <v>Methodological transparency</v>
          </cell>
          <cell r="K1" t="str">
            <v>Process / ore type?</v>
          </cell>
        </row>
        <row r="2">
          <cell r="A2" t="str">
            <v>Surovsteva et al (2022)</v>
          </cell>
          <cell r="B2" t="str">
            <v>Toward a life cycle inventory for graphite production</v>
          </cell>
          <cell r="C2" t="str">
            <v>https://doi.org/10.1111/jiec.13234</v>
          </cell>
          <cell r="D2" t="str">
            <v>Literature</v>
          </cell>
          <cell r="E2" t="str">
            <v>13.8 kg CO2-eq/kgG</v>
          </cell>
          <cell r="F2" t="str">
            <v>13.8 kgCO2-eq/kg_G</v>
          </cell>
          <cell r="G2" t="str">
            <v>no, based on publicly available data</v>
          </cell>
          <cell r="H2" t="str">
            <v>1 kg of synthetic graphite</v>
          </cell>
          <cell r="I2" t="str">
            <v>see screenshot in notes</v>
          </cell>
          <cell r="J2" t="str">
            <v>+ transparent</v>
          </cell>
          <cell r="K2" t="str">
            <v>Synthetic graphite</v>
          </cell>
        </row>
        <row r="3">
          <cell r="A3" t="str">
            <v>Engels et al (2022a)</v>
          </cell>
          <cell r="B3" t="str">
            <v>Life cycle assessment of natural graphite production for lithium-ion battery anodes based on industrial primary data</v>
          </cell>
          <cell r="C3" t="str">
            <v>https://doi.org/10.1016/j.jclepro.2022.130474</v>
          </cell>
          <cell r="D3" t="str">
            <v>Literature</v>
          </cell>
          <cell r="E3" t="str">
            <v>9.616 kgCO2-eq/kgG</v>
          </cell>
          <cell r="F3" t="str">
            <v>9.616 kgCO2-eq/kg_G</v>
          </cell>
          <cell r="G3" t="str">
            <v>yes ⇒ from Chinese graphite producer</v>
          </cell>
          <cell r="H3" t="str">
            <v>1000 kg of purified natural spherical graphite anode material</v>
          </cell>
          <cell r="I3" t="str">
            <v>see screenshot in notes</v>
          </cell>
          <cell r="J3" t="str">
            <v>++ transparent</v>
          </cell>
          <cell r="K3" t="str">
            <v>Natural graphite</v>
          </cell>
        </row>
        <row r="4">
          <cell r="A4" t="str">
            <v>Gao et al (2018)</v>
          </cell>
          <cell r="B4" t="str">
            <v>Energy consumption and carbon emission analysis of natural graphite anode material for lithium batteries</v>
          </cell>
          <cell r="C4" t="str">
            <v>https://doi.org/10.4028/www.scientific.net/MSF.913.985</v>
          </cell>
          <cell r="D4" t="str">
            <v>Literature</v>
          </cell>
          <cell r="E4" t="str">
            <v>Natural: 5.31591 kgCO2-eq/kgG</v>
          </cell>
          <cell r="F4" t="str">
            <v>5.31591 kgCO2-eq/kg_G</v>
          </cell>
          <cell r="G4" t="str">
            <v>partly ⇒ they mention primary data (next to secondary data) but don’t say where it is from… ⇒ not sure tough whether they mean foreground system and just call it “primary data”..</v>
          </cell>
          <cell r="H4" t="str">
            <v>1 ton of natural graphite anode material</v>
          </cell>
          <cell r="I4" t="str">
            <v>see screenshot in notes</v>
          </cell>
          <cell r="J4" t="str">
            <v>+ transparent, - intransparent</v>
          </cell>
          <cell r="K4" t="str">
            <v>Natural graphite</v>
          </cell>
        </row>
        <row r="5">
          <cell r="A5" t="str">
            <v>Yin et al (2019)</v>
          </cell>
          <cell r="B5" t="str">
            <v>Life cycle inventories of the commonly used materials for lithium-ion batteries in China</v>
          </cell>
          <cell r="C5" t="str">
            <v>https://www.sciencedirect.com/science/article/pii/S0959652619312661</v>
          </cell>
          <cell r="D5" t="str">
            <v>Literature</v>
          </cell>
          <cell r="E5" t="str">
            <v xml:space="preserve">6.56 kgCO2-eq/kg (extracted with tool from fig. 10)
</v>
          </cell>
          <cell r="F5" t="str">
            <v>6.56 kgCO2-eq/kg_G</v>
          </cell>
          <cell r="G5" t="str">
            <v>New data collected from Chinese environmental performance assessment reports (EPARs) - see Table 2</v>
          </cell>
          <cell r="H5" t="str">
            <v>1 kg</v>
          </cell>
          <cell r="I5" t="str">
            <v>see screenshot</v>
          </cell>
          <cell r="J5" t="str">
            <v>++ transparent</v>
          </cell>
          <cell r="K5" t="str">
            <v>Synthetic graphite</v>
          </cell>
        </row>
        <row r="6">
          <cell r="A6" t="str">
            <v>GREET 2022 [synthetic]</v>
          </cell>
          <cell r="B6" t="str">
            <v>synthetic pathway</v>
          </cell>
          <cell r="C6" t="str">
            <v>https://greet.anl.gov/</v>
          </cell>
          <cell r="D6" t="str">
            <v>Database</v>
          </cell>
          <cell r="E6" t="str">
            <v>9.1116 kg CO2eq/kg synthetic graphite</v>
          </cell>
          <cell r="F6" t="str">
            <v>9.1116 kgCO2-eq/kg_G</v>
          </cell>
          <cell r="H6" t="str">
            <v>1 ton of synthetic graphite</v>
          </cell>
          <cell r="K6" t="str">
            <v>Synthetic graphite</v>
          </cell>
        </row>
        <row r="7">
          <cell r="A7" t="str">
            <v>GREET 2022 [natural]</v>
          </cell>
          <cell r="B7" t="str">
            <v>natural pathway</v>
          </cell>
          <cell r="C7" t="str">
            <v>https://greet.anl.gov/</v>
          </cell>
          <cell r="D7" t="str">
            <v>Database</v>
          </cell>
          <cell r="E7" t="str">
            <v>8.6891 kg CO2eq/kg natural graphite</v>
          </cell>
          <cell r="F7" t="str">
            <v>8.6891 kgCO2-eq/kg_G</v>
          </cell>
          <cell r="H7" t="str">
            <v>1 ton of coated spherical natural graphite</v>
          </cell>
          <cell r="K7" t="str">
            <v>Natural graphite</v>
          </cell>
        </row>
        <row r="8">
          <cell r="A8" t="str">
            <v>Ecoinvent Version 3.9.1</v>
          </cell>
          <cell r="B8" t="str">
            <v>Rest of World</v>
          </cell>
          <cell r="C8" t="str">
            <v>https://ecoquery.ecoinvent.org/3.9.1/cutoff/dataset/8671/impact_assessment</v>
          </cell>
          <cell r="D8" t="str">
            <v>Database</v>
          </cell>
          <cell r="E8" t="str">
            <v>1.5952 kg CO2-Eq / kg Graphite</v>
          </cell>
          <cell r="F8" t="str">
            <v>1.5952 kgCO2-eq/kg_G</v>
          </cell>
          <cell r="H8" t="str">
            <v>1 kg of Graphite, Battery Grade</v>
          </cell>
          <cell r="K8" t="str">
            <v>Natural graphite</v>
          </cell>
        </row>
        <row r="9">
          <cell r="A9" t="str">
            <v>Ecoinvent Version 3.9.1</v>
          </cell>
          <cell r="B9" t="str">
            <v>China</v>
          </cell>
          <cell r="C9" t="str">
            <v>https://ecoquery.ecoinvent.org/3.9.1/cutoff/dataset/3576/impact_assessment</v>
          </cell>
          <cell r="D9" t="str">
            <v>Database</v>
          </cell>
          <cell r="E9" t="str">
            <v>1.9638 kg CO2-Eq / kg Graphite</v>
          </cell>
          <cell r="F9" t="str">
            <v>1.9638 kgCO2-eq/kg_G</v>
          </cell>
          <cell r="H9" t="str">
            <v>1 kg of Graphite, Battery Grade</v>
          </cell>
          <cell r="K9" t="str">
            <v>Natural graphite</v>
          </cell>
        </row>
        <row r="10">
          <cell r="A10" t="str">
            <v>Ecoinvent Version 3.9.1</v>
          </cell>
          <cell r="B10" t="str">
            <v>China</v>
          </cell>
          <cell r="C10" t="str">
            <v>https://ecoquery.ecoinvent.org/3.9.1/cutoff/dataset/24786/impact_assessment</v>
          </cell>
          <cell r="D10" t="str">
            <v>Database</v>
          </cell>
          <cell r="E10" t="str">
            <v>5.3848 kg CO2-Eq / kg Synthetic Graphite</v>
          </cell>
          <cell r="F10" t="str">
            <v>5.3848 kgCO2-eq/kg_G</v>
          </cell>
          <cell r="H10" t="str">
            <v>1 kg of Synthetic Graphite, Battery Grade</v>
          </cell>
          <cell r="K10" t="str">
            <v>Synthetic graphite</v>
          </cell>
        </row>
        <row r="11">
          <cell r="A11" t="str">
            <v>Ecoinvent Version 3.9.1</v>
          </cell>
          <cell r="B11" t="str">
            <v>Rest of World</v>
          </cell>
          <cell r="C11" t="str">
            <v>https://ecoquery.ecoinvent.org/3.9.1/cutoff/dataset/25146/impact_assessment</v>
          </cell>
          <cell r="D11" t="str">
            <v>Database</v>
          </cell>
          <cell r="E11" t="str">
            <v>3.9554 kg CO2-Eq / kg Synthetic Graphite</v>
          </cell>
          <cell r="F11" t="str">
            <v>3.9554 kgCO2-eq/kg_G</v>
          </cell>
          <cell r="H11" t="str">
            <v>1 kg f Synthetic Graphite, Battery Grade</v>
          </cell>
          <cell r="K11" t="str">
            <v>Synthetic graphite</v>
          </cell>
        </row>
      </sheetData>
      <sheetData sheetId="4">
        <row r="1">
          <cell r="A1" t="str">
            <v>Source</v>
          </cell>
          <cell r="B1" t="str">
            <v>Title</v>
          </cell>
          <cell r="C1" t="str">
            <v>Link</v>
          </cell>
          <cell r="D1" t="str">
            <v>Source type</v>
          </cell>
          <cell r="E1" t="str">
            <v>Total emissions</v>
          </cell>
          <cell r="F1" t="str">
            <v>Primary data?</v>
          </cell>
          <cell r="G1" t="str">
            <v>Functional unit?</v>
          </cell>
          <cell r="H1" t="str">
            <v>System boundaries</v>
          </cell>
          <cell r="I1" t="str">
            <v>Methodological transparency</v>
          </cell>
          <cell r="J1" t="str">
            <v>Process / ore type?</v>
          </cell>
        </row>
        <row r="2">
          <cell r="A2" t="str">
            <v>Li et al. (2020)</v>
          </cell>
          <cell r="B2" t="str">
            <v>Life cycle assessment considering water-energy nexus for lithium nanofiltration extraction technique</v>
          </cell>
          <cell r="C2" t="str">
            <v>https://doi.org/10.1016/j.jclepro.2020.121152</v>
          </cell>
          <cell r="D2" t="str">
            <v>Literature</v>
          </cell>
          <cell r="E2" t="str">
            <v>Only reportet for each process stage:
1.56 × 10−2 kg CO2 eq nanofiltration, 1.08 × 10−2 kg CO2 eq hyperfiltration, 2.59 × 10−3 kg CO2 eq electrodialysis 
Total: 5.23 × 10−2 kg CO2 eq</v>
          </cell>
          <cell r="F2" t="str">
            <v>No → “The LCI was derived from the previous study (https://www.sciencedirect.com/science/article/pii/S0959652620311999?via%3Dihub#bib17; https://www.sciencedirect.com/science/article/pii/S0959652620311999?via%3Dihub#bib29)”</v>
          </cell>
          <cell r="G2" t="str">
            <v>1 kg Li2CO3 product</v>
          </cell>
          <cell r="H2" t="str">
            <v>see screenshot</v>
          </cell>
          <cell r="I2" t="str">
            <v>- intransparent</v>
          </cell>
          <cell r="J2" t="str">
            <v>Brine, Li2CO3</v>
          </cell>
        </row>
        <row r="3">
          <cell r="A3" t="str">
            <v>Khakmardan et al (2023)</v>
          </cell>
          <cell r="B3" t="str">
            <v>Comparative Life Cycle Assessment of Lithium Mining, Extraction, and Refining Technologies: a Global Perspective</v>
          </cell>
          <cell r="C3" t="str">
            <v>https://doi.org/10.1016/j.procir.2023.02.102</v>
          </cell>
          <cell r="D3" t="str">
            <v>Literature</v>
          </cell>
          <cell r="E3" t="str">
            <v>see screenshot</v>
          </cell>
          <cell r="F3" t="str">
            <v>No → “The life cycle inventory analysis was completed by using
mainly existing literature and publicly available technical
reports, supplemented by EcoInvent.”</v>
          </cell>
          <cell r="G3" t="str">
            <v>one metric ton of battery-grade Lithium Carbonate
Equivalent (LCE)</v>
          </cell>
          <cell r="H3" t="str">
            <v>cradle to gate → see screenshot</v>
          </cell>
          <cell r="I3" t="str">
            <v>-- intransparent</v>
          </cell>
          <cell r="J3" t="str">
            <v>Brine, Li2CO3, Minerals</v>
          </cell>
        </row>
        <row r="4">
          <cell r="A4" t="str">
            <v>Manjong et al. (2021)</v>
          </cell>
          <cell r="B4" t="str">
            <v>Life Cycle Modelling of Extraction and Processing of Battery Minerals—A Parametric Approach</v>
          </cell>
          <cell r="C4" t="str">
            <v>https://doi.org/10.3390/batteries7030057</v>
          </cell>
          <cell r="D4" t="str">
            <v>Literature</v>
          </cell>
          <cell r="E4" t="str">
            <v>Spodumene: ranges from 3.5 kg of CO2e/kg LCE to 9 kg of CO2e/kg LCE
Brine: ranges from 2 kg of CO2e/kg LCE to 6.2 kg of CO2e/kg LCE,</v>
          </cell>
          <cell r="F4" t="str">
            <v>No → take base LCA from Stamp et al. (2012)</v>
          </cell>
          <cell r="G4" t="str">
            <v>kg Lithium Carbonate Equivalent (LCE)</v>
          </cell>
          <cell r="H4" t="str">
            <v>see screenshot</v>
          </cell>
          <cell r="I4" t="str">
            <v>+ transparent</v>
          </cell>
          <cell r="J4" t="str">
            <v>Brine, Li2CO3, Minerals</v>
          </cell>
        </row>
        <row r="5">
          <cell r="A5" t="str">
            <v>Winjobi et al (2022)</v>
          </cell>
          <cell r="B5" t="str">
            <v>Life-cycle analysis, by global region, of automotive lithium-ion nickel manganese cobalt batteries of varying nickel content</v>
          </cell>
          <cell r="C5" t="str">
            <v>https://doi.org/10.1016/j.susmat.2022.e00415</v>
          </cell>
          <cell r="D5" t="str">
            <v>Literature</v>
          </cell>
          <cell r="E5" t="str">
            <v>3.804 kg CO2 eq / kg</v>
          </cell>
          <cell r="F5" t="str">
            <v>probably no</v>
          </cell>
          <cell r="G5" t="str">
            <v xml:space="preserve">of study: 1kWh of battery capacity
</v>
          </cell>
          <cell r="H5" t="str">
            <v>see screenshot</v>
          </cell>
          <cell r="I5" t="str">
            <v>- intransparent</v>
          </cell>
          <cell r="J5" t="str">
            <v>Li2CO3</v>
          </cell>
        </row>
        <row r="6">
          <cell r="A6" t="str">
            <v xml:space="preserve">Dai et al. (2019) </v>
          </cell>
          <cell r="B6" t="str">
            <v>Life Cycle Analysis of Lithium-Ion Batteries for Automotive Applications</v>
          </cell>
          <cell r="C6" t="str">
            <v>https://doi.org/10.3390/batteries5020048</v>
          </cell>
          <cell r="D6" t="str">
            <v>Literature</v>
          </cell>
          <cell r="E6" t="str">
            <v xml:space="preserve"> 1.46 kg CO2e per kg NMC111 powder </v>
          </cell>
          <cell r="F6" t="str">
            <v>unclear: say they update GREET with new industrial data and talk about industry data they obtained from manufacturers but most probably only for production stages after Li2CO3-production</v>
          </cell>
          <cell r="G6" t="str">
            <v>1 kg NMC111 powder</v>
          </cell>
          <cell r="H6" t="str">
            <v>see screenshot</v>
          </cell>
          <cell r="I6" t="str">
            <v>- intransparent</v>
          </cell>
          <cell r="J6" t="str">
            <v>Brine, Li2CO3</v>
          </cell>
        </row>
        <row r="7">
          <cell r="A7" t="str">
            <v>Jiao et al. (2020)</v>
          </cell>
          <cell r="B7" t="str">
            <v>Environmental Impacts Assessment of NCM Cathode Material Production of Power Lithium-Ion Batteries</v>
          </cell>
          <cell r="C7" t="str">
            <v>https://doi.org/10.4028/www.scientific.net/MSF.993.1456</v>
          </cell>
          <cell r="D7" t="str">
            <v>Literature</v>
          </cell>
          <cell r="E7" t="str">
            <v>1.72 kg CO2 eq / kg cathode material</v>
          </cell>
          <cell r="F7" t="str">
            <v>no</v>
          </cell>
          <cell r="G7" t="str">
            <v>1 kg NMC111 cathode material</v>
          </cell>
          <cell r="H7" t="str">
            <v>see screenshot</v>
          </cell>
          <cell r="I7" t="str">
            <v>- intransparent</v>
          </cell>
          <cell r="J7" t="str">
            <v>Li2CO3</v>
          </cell>
        </row>
        <row r="8">
          <cell r="A8" t="str">
            <v>Notter et al. (2010)</v>
          </cell>
          <cell r="B8" t="str">
            <v>Contribution of Li-Ion Batteries to the Environmental Impact of Electric Vehicles</v>
          </cell>
          <cell r="C8" t="str">
            <v>https://doi.org/10.1021/es903729a</v>
          </cell>
          <cell r="D8" t="str">
            <v>Literature</v>
          </cell>
          <cell r="E8" t="str">
            <v>0.135 kg CO2 eq per 1 kg Li-ion battery</v>
          </cell>
          <cell r="F8" t="str">
            <v>No → get data from SEIA-CONAMA (Government agencies from Chile)</v>
          </cell>
          <cell r="G8" t="str">
            <v>1 kg Li-ion battery → how to harmonise?</v>
          </cell>
          <cell r="H8" t="str">
            <v>see screenshot</v>
          </cell>
          <cell r="I8" t="str">
            <v>++ transparent</v>
          </cell>
          <cell r="J8" t="str">
            <v>Brine, Li2CO3</v>
          </cell>
        </row>
        <row r="9">
          <cell r="A9" t="str">
            <v>Grant et al. (2020)</v>
          </cell>
          <cell r="B9" t="str">
            <v>The CO2 Impact of the 2020s’ Battery Quality Lithium Hydroxide Supply Chain</v>
          </cell>
          <cell r="C9" t="str">
            <v>https://www.jadecove.com/research/liohco2impact?rq=lithium%20hydroxide</v>
          </cell>
          <cell r="D9" t="str">
            <v>Report</v>
          </cell>
          <cell r="E9" t="str">
            <v>Argentina: 8 t CO2/t LiOH٠H2O
Australia: 15 t CO2/t LiOH٠H2O
Portugal: 15 t CO2/t LiOH٠H2O</v>
          </cell>
          <cell r="F9" t="str">
            <v>No → used public data
“The majority of this information originates from published data, linked to real resources, operators, and proposed projects.”</v>
          </cell>
          <cell r="G9" t="str">
            <v>1 tonne of LiOH٠H2O FOB Port of Rotterdam, the Netherlands</v>
          </cell>
          <cell r="H9" t="str">
            <v>see screenshot</v>
          </cell>
          <cell r="I9" t="str">
            <v>-- intransparent</v>
          </cell>
          <cell r="J9" t="str">
            <v>Brine, Li2CO3, Minerals</v>
          </cell>
        </row>
        <row r="10">
          <cell r="A10" t="str">
            <v>Minviro (2022)</v>
          </cell>
          <cell r="B10" t="str">
            <v>Comparative Life Cycle Assessment Study Of Solid State And Lithium-Ion Batteries For Electric Vehicle Application In Europe</v>
          </cell>
          <cell r="C10" t="str">
            <v>https://www.transportenvironment.org/wp-content/uploads/2022/07/2022_07_LCA_research_by_Minviro.pdf</v>
          </cell>
          <cell r="D10" t="str">
            <v>Report</v>
          </cell>
          <cell r="E10" t="str">
            <v>see screenshots</v>
          </cell>
          <cell r="F10" t="str">
            <v>no → public sources + private databases</v>
          </cell>
          <cell r="G10" t="str">
            <v>one kilowatt hour contained within a complete (SSB/Li-ion) battery pack, produced from comparable raw material supply chains.</v>
          </cell>
          <cell r="H10" t="str">
            <v>cradle-to-gate: “The end gate has been set to the output of
the battery facility.”</v>
          </cell>
          <cell r="I10" t="str">
            <v>+ transparent</v>
          </cell>
          <cell r="J10" t="str">
            <v>Brine, Li2CO3, LiOH ∗ H2O, Minerals</v>
          </cell>
        </row>
        <row r="11">
          <cell r="A11" t="str">
            <v>Riikke (2021)</v>
          </cell>
          <cell r="B11" t="str">
            <v>Life cycle assessment for
lithium hydroxide production</v>
          </cell>
          <cell r="C11" t="str">
            <v>https://www.theseus.fi/bitstream/handle/10024/509459/Anttonen_Riikka.pdf?sequence=2&amp;isAllowed=y</v>
          </cell>
          <cell r="D11" t="str">
            <v>Report</v>
          </cell>
          <cell r="E11" t="str">
            <v>9,4 t CO2 eq per tonne of
lithium hydroxide monohydrate</v>
          </cell>
          <cell r="F11" t="str">
            <v>say yes but source mainly EI 3.6</v>
          </cell>
          <cell r="G11" t="str">
            <v>1 tonne of lithium hydroxide monohydrate</v>
          </cell>
          <cell r="H11" t="str">
            <v>cradle-to-gate</v>
          </cell>
          <cell r="I11" t="str">
            <v>++ transparent</v>
          </cell>
          <cell r="J11" t="str">
            <v>LiOH ∗ H2O</v>
          </cell>
        </row>
        <row r="12">
          <cell r="A12" t="str">
            <v>Chordia et al. (2022)</v>
          </cell>
          <cell r="B12" t="str">
            <v>Life cycle environmental impacts of current and future battery-grade lithium supply from brine and spodumene</v>
          </cell>
          <cell r="C12" t="str">
            <v>https://doi.org/10.1016/j.resconrec.2022.106634</v>
          </cell>
          <cell r="D12" t="str">
            <v>Literature</v>
          </cell>
          <cell r="E12" t="str">
            <v>Salar de Atacama (Brine)
Ecoinvent: 5.50 kg CO2 eq / kg LiOH⋅H2O
Kelly: 7.31 kg CO2 eq / kg LiOH⋅H2O
Talison, Australia (Spodumene)
Ecoinvent: 19.2 kg CO2 eq / kg LiOH⋅H2O
Kelly: 18.5 kg CO2 eq / kg LiOH⋅H2O</v>
          </cell>
          <cell r="F12" t="str">
            <v>No → review Ecoinvent and Kelly et al. (2021) as base for their calculations</v>
          </cell>
          <cell r="G12" t="str">
            <v>1 metric ton of battery-grade LiOH⋅H2O</v>
          </cell>
          <cell r="H12" t="str">
            <v>cradle to gate</v>
          </cell>
          <cell r="I12" t="str">
            <v>+ transparent</v>
          </cell>
          <cell r="J12" t="str">
            <v>Brine, LiOH ∗ H2O, Minerals</v>
          </cell>
        </row>
        <row r="13">
          <cell r="A13" t="str">
            <v>Telsnig et al. (2017)</v>
          </cell>
          <cell r="B13" t="str">
            <v>Opportunities to integrate solar technologies into the Chilean lithium mining industry – reducing process related GHG emissions of a strategic storage resource</v>
          </cell>
          <cell r="C13" t="str">
            <v>https://doi.org/10.1063/1.4984491</v>
          </cell>
          <cell r="D13" t="str">
            <v>Literature</v>
          </cell>
          <cell r="E13" t="str">
            <v>2.5 kg CO2eq/kg Li2CO3</v>
          </cell>
          <cell r="F13" t="str">
            <v>probably no → “..the LCI data presented in this study only refers to average data of the last two plant extensions […]”</v>
          </cell>
          <cell r="G13" t="str">
            <v>1 kg of lithium carbonate (Li2CO3)</v>
          </cell>
          <cell r="H13" t="str">
            <v>see screenshot</v>
          </cell>
          <cell r="I13" t="str">
            <v>+ transparent, - intransparent</v>
          </cell>
          <cell r="J13" t="str">
            <v>Brine, Li2CO3</v>
          </cell>
        </row>
      </sheetData>
      <sheetData sheetId="5">
        <row r="1">
          <cell r="A1" t="str">
            <v>Source</v>
          </cell>
          <cell r="B1" t="str">
            <v>Title</v>
          </cell>
          <cell r="C1" t="str">
            <v>Link</v>
          </cell>
          <cell r="D1" t="str">
            <v>Source type</v>
          </cell>
          <cell r="E1" t="str">
            <v>Total emissions [kgCO2eq/kg]</v>
          </cell>
          <cell r="F1" t="str">
            <v>Harmonised emissions [kg CO2eq/kg]</v>
          </cell>
          <cell r="G1" t="str">
            <v>Primary data?</v>
          </cell>
          <cell r="H1" t="str">
            <v>Functional unit?</v>
          </cell>
          <cell r="I1" t="str">
            <v>System boundaries</v>
          </cell>
          <cell r="J1" t="str">
            <v>Methodological transparency</v>
          </cell>
          <cell r="K1" t="str">
            <v>Process / ore type?</v>
          </cell>
          <cell r="L1" t="str">
            <v>Found via</v>
          </cell>
          <cell r="M1" t="str">
            <v>Location of production</v>
          </cell>
          <cell r="N1" t="str">
            <v>Mine</v>
          </cell>
        </row>
        <row r="2">
          <cell r="A2" t="str">
            <v>Schenker et al. (2022)</v>
          </cell>
          <cell r="B2" t="str">
            <v>Regionalized life cycle assessment of present and future lithium production for Li-ion batteries</v>
          </cell>
          <cell r="C2" t="str">
            <v>https://doi.org/10.1016/j.resconrec.2022.106611</v>
          </cell>
          <cell r="D2" t="str">
            <v>Literature</v>
          </cell>
          <cell r="E2" t="str">
            <v>Salar de Atacama: 3.4 kg CO2eq/kg Li2CO3
Salar de Olaroz: 7.4 kg CO2eq/kg Li2CO3
Chaerhan salt lake: 31.6 kg CO2eq/kg Li2CO3
Salar de Cauchari-Olaroz: 7.7 kg CO2eq/kg Li2CO3 
Salar del Hombre Muerto (North): 8 kg CO2eq/kg Li2CO3</v>
          </cell>
          <cell r="F2" t="str">
            <v>Salar de Atacama: 3.4 kg CO2eq/kg Li2CO3
Salar de Olaroz: 7.4 kg CO2eq/kg Li2CO3
Chaerhan salt lake: 31.6 kg CO2eq/kg Li2CO3</v>
          </cell>
          <cell r="G2" t="str">
            <v>No → calculate in- and outputs needed for the production processes from the chemical composition of the brine and the stochiometry and thermodynamics of these processes based on literature review</v>
          </cell>
          <cell r="H2" t="str">
            <v>1 kg Li2CO3 (battery grade)</v>
          </cell>
          <cell r="I2" t="str">
            <v xml:space="preserve">cradle-to-gate approach
</v>
          </cell>
          <cell r="J2" t="str">
            <v>++ transparent</v>
          </cell>
          <cell r="K2" t="str">
            <v>Brine, Li2CO3</v>
          </cell>
          <cell r="L2" t="str">
            <v>Vanessa, systematic lit rev</v>
          </cell>
          <cell r="M2" t="str">
            <v>Argentina, Chile, China</v>
          </cell>
          <cell r="N2" t="str">
            <v>Chaerhan Lake, Salar de Atacama, Salar de Cauchari-Olaroz, Salar de Olaroz, Salar del Hombre Muerto</v>
          </cell>
        </row>
        <row r="3">
          <cell r="A3" t="str">
            <v>Ambrose and Kendall (2019)</v>
          </cell>
          <cell r="B3" t="str">
            <v>Understanding the future of lithium: Part 2, temporally and spatially resolved life-cycle assessment modeling</v>
          </cell>
          <cell r="C3" t="str">
            <v>https://doi.org/10.1111/jiec.12942</v>
          </cell>
          <cell r="D3" t="str">
            <v>Literature</v>
          </cell>
          <cell r="E3" t="str">
            <v>High-grade Pegmatite: 2,282262864 kg CO2eq
Low-grade Pegmatite: 2,67
Low-grade Rock Minerals: 3,32 kg CO2eq
High-grade Brine: 3,06 kg CO2eq
Low-grade Brine: 3,97 kg CO2eq
Low-grade Brine/Unfavorable Conditions: 5,28 kg CO2eq</v>
          </cell>
          <cell r="F3" t="str">
            <v>High-grade Pegmatite: 2,282262864 kg CO2eq/kg Li2CO3eq
Low-grade Pegmatite: 2,67 kg CO2eq/kg Li2CO3
Low-grade Rock Minerals: 3,32 kg CO2eq/kg Li2CO3
High-grade Brine: 3,06 kg CO2eq/kg Li2CO3
Low-grade Brine: 3,97 kg CO2eq/kg Li2CO3
Low-grade Brine/Unfavorable Conditions: 5,28 kg CO2eq/kg Li2CO3</v>
          </cell>
          <cell r="G3" t="str">
            <v>No → “Throughput, efficiency, and material and energy inputs are estimated based on company reporting, patents, and prior studies”</v>
          </cell>
          <cell r="H3" t="str">
            <v>1 kg of battery grade lithium carbonate equivalent (≥99% Li2CO3 by content)</v>
          </cell>
          <cell r="I3" t="str">
            <v>from mine to processor or refining gate
→ Screenshot</v>
          </cell>
          <cell r="J3" t="str">
            <v>- intransparent</v>
          </cell>
          <cell r="K3" t="str">
            <v>Brine, Li2CO3, Minerals</v>
          </cell>
          <cell r="L3" t="str">
            <v>Vanessa, systematic lit rev</v>
          </cell>
          <cell r="M3" t="str">
            <v>Global</v>
          </cell>
        </row>
        <row r="4">
          <cell r="A4" t="str">
            <v>Kelly et al. (2021)</v>
          </cell>
          <cell r="B4" t="str">
            <v>Energy, greenhouse gas, and water life cycle analysis of lithium carbonate and lithium hydroxide monohydrate from brine and ore resources and their use in lithium ion battery cathodes and lithium ion batteries</v>
          </cell>
          <cell r="C4" t="str">
            <v>https://doi.org/10.1016/j.resconrec.2021.105762</v>
          </cell>
          <cell r="D4" t="str">
            <v>Literature</v>
          </cell>
          <cell r="E4" t="str">
            <v>They report values for Li2CO3 and LiOH•H2O from brine with 4 allocation methods and from ore:
Li2CO3 
brine: 
mass: 2.7 tonne CO2e/tonne
value: 3.1 tonne CO2e/tonne
product: 2.9 tonne CO2e/tonne
process: 2.8 tonne CO2e/tonne
ore: 20.4 tonne CO2e/tonne
LiOH•H2O
brine: 
mass: 6.9 tonne CO2e/tonne
value: 7.3 tonne CO2e/tonne
product: 7.1 tonne CO2e/tonne
process: 7.0 tonne CO2e/tonne
ore: 15.7 tonne CO2e/tonne</v>
          </cell>
          <cell r="F4" t="str">
            <v>Li2CO3 
brine: 
mass: 2.7 kg CO2eq/kg Li2CO3
value: 3.1 kg CO2eq/kg Li2CO3
product: 2.9 kg CO2eq/kg Li2CO3
process: 2.8 kg CO2eq/kg Li2CO3
ore: 20.4 kg CO2eq/kg Li2CO3
LiOH•H2O
brine: 
mass: 6.9  kg CO2 eq / kg LiOH⋅H2O
value: 7.3  kg CO2 eq / kg LiOH⋅H2O
product: 7.1  kg CO2 eq / kg LiOH⋅H2O
process: 7.0  kg CO2 eq / kg LiOH⋅H2O
ore: 15.7  kg CO2 eq / kg LiOH⋅H2O</v>
          </cell>
          <cell r="G4" t="str">
            <v>Yes → production from brine is based on primary data, production from ore is based on a combination of the literature, engineering estimation, and primary data</v>
          </cell>
          <cell r="H4" t="str">
            <v>1 tonne of battery-grade product (Li2CO3 or LiOH•H2O)</v>
          </cell>
          <cell r="I4" t="str">
            <v>cradle to gate → screenshot</v>
          </cell>
          <cell r="J4" t="str">
            <v>++ transparent</v>
          </cell>
          <cell r="K4" t="str">
            <v>Brine, Li2CO3, LiOH ∗ H2O, Minerals</v>
          </cell>
          <cell r="L4" t="str">
            <v>Vanessa, systematic lit rev</v>
          </cell>
          <cell r="M4" t="str">
            <v>Australia, Chile, China, Global</v>
          </cell>
          <cell r="N4" t="str">
            <v>Salar de Atacama</v>
          </cell>
        </row>
        <row r="5">
          <cell r="A5" t="str">
            <v>Stamp et al. (2012)</v>
          </cell>
          <cell r="B5" t="str">
            <v>Environmental impacts of a transition toward e-mobility: the present and future role of lithium carbonate production</v>
          </cell>
          <cell r="C5" t="str">
            <v>https://doi.org/10.1016/j.jclepro.2011.10.026</v>
          </cell>
          <cell r="D5" t="str">
            <v>Literature</v>
          </cell>
          <cell r="E5" t="str">
            <v>brine (favorable): 2.02 kg CO2 eq / kg Li2CO3
brine (unfavorable): 82.01 kg CO2 eq / kg Li2CO3
spodumene (favorable): 2.27 kg CO2 eq / kg Li2CO3
spodumene (unfavorable): 2.62 kg CO2 eq / kg Li2CO3</v>
          </cell>
          <cell r="F5" t="str">
            <v>brine (favorable): 2.02 kg CO2 eq / kg Li2CO3
brine (unfavorable): 82.01 kg CO2 eq / kg Li2CO3
spodumene (favorable): 2.27 kg CO2 eq / kg Li2CO3
spodumene (unfavorable): 2.62 kg CO2 eq / kg Li2CO3</v>
          </cell>
          <cell r="G5" t="str">
            <v>partially → see comments</v>
          </cell>
          <cell r="H5" t="str">
            <v>1 kg Li2CO3</v>
          </cell>
          <cell r="I5" t="str">
            <v>cradle to gate → “The resource provision level represents the production of Li2CO3 from resource extraction to the final product at plant gate”</v>
          </cell>
          <cell r="J5" t="str">
            <v>+ transparent</v>
          </cell>
          <cell r="K5" t="str">
            <v>Brine, Li2CO3, Minerals</v>
          </cell>
          <cell r="L5" t="str">
            <v>Vanessa, systematic lit rev</v>
          </cell>
          <cell r="M5" t="str">
            <v>Australia, Bolivia, Chile, China, Global</v>
          </cell>
          <cell r="N5" t="str">
            <v>Greenbush, Manono Lithium-Tin Project, Salar de Atacama, Salar de Uyuni</v>
          </cell>
        </row>
        <row r="6">
          <cell r="A6" t="str">
            <v>Jiang et al (2020)</v>
          </cell>
          <cell r="B6" t="str">
            <v>Environmental impacts of lithium production showing the importance of primary data of upstream process in life-cycle assessment</v>
          </cell>
          <cell r="C6" t="str">
            <v>https://doi.org/10.1016/j.jenvman.2020.110253</v>
          </cell>
          <cell r="D6" t="str">
            <v>Literature</v>
          </cell>
          <cell r="E6" t="str">
            <v>Rock-based lithium: 15.69 kg CO2 eq/kg Li2CO3 (90% CI 5.2%)
Brine-based lithium: 3.29E-01 kg CO2 eq/kg Li2CO3</v>
          </cell>
          <cell r="F6" t="str">
            <v>Rock-based lithium: 15.69 kg CO2 eq/kg Li2CO3
Brine-based lithium: 0.329 kg CO2 eq/kg Li2CO3</v>
          </cell>
          <cell r="G6" t="str">
            <v>Yes → see comments</v>
          </cell>
          <cell r="H6" t="str">
            <v>1 kg of refined lithium carbonate (Li2CO3) with a purity of 99.9% preparing for Li-ion battery</v>
          </cell>
          <cell r="I6" t="str">
            <v>cradle to gate → see screenshot</v>
          </cell>
          <cell r="J6" t="str">
            <v>++ transparent</v>
          </cell>
          <cell r="K6" t="str">
            <v>Brine, Li2CO3, Minerals</v>
          </cell>
          <cell r="L6" t="str">
            <v>Vanessa, connectedpapers.com, systematic lit rev</v>
          </cell>
          <cell r="M6" t="str">
            <v>Argentina, Australia, China</v>
          </cell>
          <cell r="N6" t="str">
            <v>Salar de Atacama</v>
          </cell>
        </row>
        <row r="7">
          <cell r="A7" t="str">
            <v>GREET 2022 [from brine]</v>
          </cell>
          <cell r="B7" t="str">
            <v>GREET 2022 .net</v>
          </cell>
          <cell r="C7" t="str">
            <v>https://greet.anl.gov/</v>
          </cell>
          <cell r="D7" t="str">
            <v>Database</v>
          </cell>
          <cell r="E7" t="str">
            <v>2.8 kg CO2e/kg Li2CO3</v>
          </cell>
          <cell r="F7" t="str">
            <v>2.8 kg CO2e/kg Li2CO3</v>
          </cell>
          <cell r="G7" t="str">
            <v>based on Kelly (2021)</v>
          </cell>
          <cell r="H7" t="str">
            <v>1 kg Li2CO3 (battery grade)</v>
          </cell>
          <cell r="K7" t="str">
            <v>Brine, Li2CO3</v>
          </cell>
          <cell r="M7" t="str">
            <v>Chile</v>
          </cell>
          <cell r="N7" t="str">
            <v>Salar de Atacama</v>
          </cell>
        </row>
        <row r="8">
          <cell r="A8" t="str">
            <v>GREET 2022 [from ore]</v>
          </cell>
          <cell r="B8" t="str">
            <v>GREET 2022 .net</v>
          </cell>
          <cell r="C8" t="str">
            <v>https://greet.anl.gov/</v>
          </cell>
          <cell r="D8" t="str">
            <v>Database</v>
          </cell>
          <cell r="E8" t="str">
            <v>20.2 kg CO2e/kg Li2CO3</v>
          </cell>
          <cell r="F8" t="str">
            <v>20.2 kg CO2e/kg Li2CO3</v>
          </cell>
          <cell r="G8" t="str">
            <v>based on Kelly (2021)</v>
          </cell>
          <cell r="H8" t="str">
            <v>1 kg Li2CO3 (battery grade)</v>
          </cell>
          <cell r="K8" t="str">
            <v>Li2CO3, Minerals</v>
          </cell>
          <cell r="M8" t="str">
            <v>Australia, China</v>
          </cell>
        </row>
        <row r="9">
          <cell r="A9" t="str">
            <v>EI 3.9.1 [from ore, RoW]</v>
          </cell>
          <cell r="B9" t="str">
            <v>lithium carbonate production, from spodumene</v>
          </cell>
          <cell r="C9" t="str">
            <v>https://ecoquery.ecoinvent.org/3.9.1/cutoff/dataset/24583/impact_assessment</v>
          </cell>
          <cell r="D9" t="str">
            <v>Database</v>
          </cell>
          <cell r="E9" t="str">
            <v>9.5289 kg CO2e/kg Li2CO3</v>
          </cell>
          <cell r="F9" t="str">
            <v>9.5289 kg CO2e/kg Li2CO3</v>
          </cell>
          <cell r="G9" t="str">
            <v>based on Jiang et al. (2020)</v>
          </cell>
          <cell r="H9" t="str">
            <v>1 kg of refined lithium carbonate (Li2CO3), with 99.9% purity.</v>
          </cell>
          <cell r="K9" t="str">
            <v>Li2CO3, Minerals</v>
          </cell>
          <cell r="M9" t="str">
            <v>Australia, China</v>
          </cell>
        </row>
        <row r="10">
          <cell r="A10" t="str">
            <v>EI 3.9.1 [from ore, CN]</v>
          </cell>
          <cell r="B10" t="str">
            <v>lithium carbonate production, from spodumene</v>
          </cell>
          <cell r="C10" t="str">
            <v>https://ecoquery.ecoinvent.org/3.9.1/cutoff/dataset/24929/impact_assessment</v>
          </cell>
          <cell r="D10" t="str">
            <v>Database</v>
          </cell>
          <cell r="E10" t="str">
            <v>1.0676 kg CO2e/kg Li2CO3</v>
          </cell>
          <cell r="F10" t="str">
            <v>1.0676 kg CO2e/kg Li2CO3</v>
          </cell>
          <cell r="G10" t="str">
            <v>based on Jiang et al. (2020)</v>
          </cell>
          <cell r="H10" t="str">
            <v>1 kg of refined lithium carbonate (Li2CO3), with 99.9% purity.</v>
          </cell>
          <cell r="K10" t="str">
            <v>Li2CO3, Minerals</v>
          </cell>
          <cell r="M10" t="str">
            <v>China</v>
          </cell>
        </row>
        <row r="11">
          <cell r="A11" t="str">
            <v>EI 3.9.1 [from brine, GLO]</v>
          </cell>
          <cell r="B11" t="str">
            <v>lithium carbonate production, from concentrated brine</v>
          </cell>
          <cell r="C11" t="str">
            <v>https://ecoquery.ecoinvent.org/3.9.1/cutoff/dataset/2085/documentation</v>
          </cell>
          <cell r="D11" t="str">
            <v>Database</v>
          </cell>
          <cell r="E11" t="str">
            <v>2.1598 kg CO2e/kg Li2CO3</v>
          </cell>
          <cell r="F11" t="str">
            <v>2.1598 kg CO2e/kg Li2CO3</v>
          </cell>
          <cell r="G11" t="str">
            <v>based on an environmental survey from SEIA-CONAMA (2006) as well as environmental reports from a company in Chile (SQM)</v>
          </cell>
          <cell r="H11" t="str">
            <v>1 kg of lithium carbonate from concentrated brine</v>
          </cell>
          <cell r="K11" t="str">
            <v>Brine, Li2CO3</v>
          </cell>
          <cell r="M11" t="str">
            <v>Chile</v>
          </cell>
        </row>
      </sheetData>
      <sheetData sheetId="6">
        <row r="1">
          <cell r="A1" t="str">
            <v>Source</v>
          </cell>
          <cell r="B1" t="str">
            <v>Title</v>
          </cell>
          <cell r="C1" t="str">
            <v>Link</v>
          </cell>
          <cell r="D1" t="str">
            <v>Source type</v>
          </cell>
          <cell r="E1" t="str">
            <v>Total emissions</v>
          </cell>
          <cell r="F1" t="str">
            <v>Primary data?</v>
          </cell>
          <cell r="G1" t="str">
            <v>Functional unit?</v>
          </cell>
          <cell r="H1" t="str">
            <v>System boundaries</v>
          </cell>
          <cell r="I1" t="str">
            <v>Methodological transparency</v>
          </cell>
          <cell r="J1" t="str">
            <v>Process / ore type?</v>
          </cell>
          <cell r="K1" t="str">
            <v>Comment</v>
          </cell>
        </row>
        <row r="2">
          <cell r="A2" t="str">
            <v>Yin et al (2019)</v>
          </cell>
          <cell r="B2" t="str">
            <v>Life cycle inventories of the commonly used material for lithium-ion batteries in China</v>
          </cell>
          <cell r="C2" t="str">
            <v>https://www.sciencedirect.com/science/article/pii/S0959652619312661?via%3Dihub#appsec1</v>
          </cell>
          <cell r="D2" t="str">
            <v>Literature</v>
          </cell>
          <cell r="E2" t="str">
            <v>-</v>
          </cell>
          <cell r="F2" t="str">
            <v>probably not</v>
          </cell>
          <cell r="G2" t="str">
            <v>1 kg of material</v>
          </cell>
          <cell r="H2" t="str">
            <v>see screenshot</v>
          </cell>
          <cell r="I2" t="str">
            <v>+ transparent, - intransparent</v>
          </cell>
          <cell r="J2" t="str">
            <v>Nickel sulphate</v>
          </cell>
          <cell r="K2" t="str">
            <v>Not included in final data because probably same inventory as in ecoinvent for NiSO4
emissions not specified for nickel sulfates... but compared to other studies at least an inventory approach (even if this was probably taken 1:1 from ecoinvent... 😞)</v>
          </cell>
        </row>
        <row r="3">
          <cell r="A3" t="str">
            <v>Jiao et al (2020)</v>
          </cell>
          <cell r="B3" t="str">
            <v>Environmental impacts assessment of nmc cathode mateiral production of power lithium-ion batteries</v>
          </cell>
          <cell r="C3" t="str">
            <v>https://www.scientific.net/MSF.993.1456</v>
          </cell>
          <cell r="D3" t="str">
            <v>Literature</v>
          </cell>
          <cell r="E3" t="str">
            <v>-</v>
          </cell>
          <cell r="F3" t="str">
            <v>probably not for NiSO4 production 
⇒ they use primary data (on-site surveys of several representative LIB cathode material manufacturerers in Qingdao, Shandong Province (CN)) for NMC powder synthesis process</v>
          </cell>
          <cell r="G3" t="str">
            <v>1 kg of cathode material</v>
          </cell>
          <cell r="H3" t="str">
            <v>see screenshot</v>
          </cell>
          <cell r="I3" t="str">
            <v>+ transparent, - intransparent</v>
          </cell>
          <cell r="J3" t="str">
            <v>Nickel sulphate</v>
          </cell>
          <cell r="K3" t="str">
            <v>Not included in final data because only values for energy consumption ⇒ contact author, if GWP values available, study would fullfill criteria
- no SI
No absolute values given, but GWP for NiSO4 was calculated reliably ⇒ see screenshot ⇒ Contact the author</v>
          </cell>
        </row>
        <row r="4">
          <cell r="A4" t="str">
            <v>Lewrén (2019)</v>
          </cell>
          <cell r="B4" t="str">
            <v>Life cycle assessment of nickel-rich lihtium-ion battery for electric vehicles. A comparative LCA between the cathode chemistries NMC 333 and NMC 622</v>
          </cell>
          <cell r="C4" t="str">
            <v>https://odr.chalmers.se/items/9b12f205-4161-4b10-be1b-343234a21d3a</v>
          </cell>
          <cell r="D4" t="str">
            <v>Report</v>
          </cell>
          <cell r="E4" t="str">
            <v>4,1 kg CO2eq/kg nickel</v>
          </cell>
          <cell r="F4" t="str">
            <v>probably not</v>
          </cell>
          <cell r="G4" t="str">
            <v>of study: they compare impacts per kWh (baseline), per kg battery pack and per battery pack
for nickel (figure 5.11): kg CO2eq / kg nickel</v>
          </cell>
          <cell r="H4" t="str">
            <v>see screenshot
⇒ emissions from cradle-to-grave?? ⇒ see screenshot / Figure 5.11</v>
          </cell>
          <cell r="I4" t="str">
            <v>++ transparent</v>
          </cell>
          <cell r="J4" t="str">
            <v>Nickel sulphate</v>
          </cell>
          <cell r="K4" t="str">
            <v>Not included in final data because inventory for nickel mining to nickel refining is taken from Gediga et al (2015); inventory for nickel sulpahte based on stoichiometry and Dunn et al (2015) and GWP probably for cradle-to-grave
Master thesis</v>
          </cell>
        </row>
        <row r="5">
          <cell r="A5" t="str">
            <v>Tijsseling and Whattoff (2022)</v>
          </cell>
          <cell r="B5" t="str">
            <v>Summary Report of Prospective Life Cycle Assessment Study of NCM811 p-cam Production at the Ta Khoa Refinery Project</v>
          </cell>
          <cell r="C5" t="str">
            <v>https://www.google.com/url?sa=t&amp;rct=j&amp;q=&amp;esrc=s&amp;source=web&amp;cd=&amp;ved=2ahUKEwjCr83Wqe_-AhWQgv0HHWZLA5gQFnoECBkQAQ&amp;url=https%3A%2F%2Fhotcopper.com.au%2Fdocumentdownload%3Fid%3DuOMxKKzFkiWRTLKhOROKAxjvTDYL4g61zxbwv%252FVq57FiGug%253D&amp;usg=AOvVaw3ffUy2M6pejZUDTWS_6eIZ</v>
          </cell>
          <cell r="D5" t="str">
            <v>Report</v>
          </cell>
          <cell r="E5" t="str">
            <v>9.8 kg CO2eq/kg NCM811</v>
          </cell>
          <cell r="F5" t="str">
            <v>probably yes</v>
          </cell>
          <cell r="G5" t="str">
            <v>1 kg of NCM811 pCAM (produced from sulphide at the Ta Khoa Nickel project mine and Ta Khoa Refinery in Vietnam)</v>
          </cell>
          <cell r="H5" t="str">
            <v>see screenshot</v>
          </cell>
          <cell r="I5" t="str">
            <v>+ transparent, - intransparent</v>
          </cell>
          <cell r="J5" t="str">
            <v>Nickel sulphate</v>
          </cell>
          <cell r="K5" t="str">
            <v>Not included in final data because FU is 1 kg NCM811 → not easy to harmonise</v>
          </cell>
        </row>
        <row r="6">
          <cell r="A6" t="str">
            <v>Ali et al (2023)</v>
          </cell>
          <cell r="B6" t="str">
            <v>Analysis of nickel sulphate datasets used in lithium-ion batteries</v>
          </cell>
          <cell r="C6" t="str">
            <v>https://www.sciencedirect.com/science/article/pii/S2212827123000689</v>
          </cell>
          <cell r="D6" t="str">
            <v>Literature</v>
          </cell>
          <cell r="E6" t="str">
            <v>see screenshot</v>
          </cell>
          <cell r="F6" t="str">
            <v>no</v>
          </cell>
          <cell r="G6" t="str">
            <v>GWP angegeben als “1kg of NiSO4 for use in NMC battery production”</v>
          </cell>
          <cell r="H6" t="str">
            <v>see screenshot</v>
          </cell>
          <cell r="J6" t="str">
            <v>Nickel sulphate</v>
          </cell>
          <cell r="K6" t="str">
            <v>Not included in final data because no own inventory, just look at different datasets which are often used in studies</v>
          </cell>
        </row>
        <row r="7">
          <cell r="A7" t="str">
            <v>Norgate &amp; Rankin (2007)</v>
          </cell>
          <cell r="B7" t="str">
            <v>Assessing the environmental impact of metal production processes</v>
          </cell>
          <cell r="C7" t="str">
            <v>https://www.sciencedirect.com/science/article/pii/S0959652606002320</v>
          </cell>
          <cell r="D7" t="str">
            <v>Literature</v>
          </cell>
          <cell r="E7" t="str">
            <v>flash furnace smelting and Sheritt-Gordon refining ⇒ probably sulfide ores
- total energy: 114 MJ/kg
- GWP: 11.4 kg CO2eq/kg
pressure acid leaching and solvent extraction (SX)/electrowinning (EW) ⇒ probably laterite ores
- total energy: 194 MJ/kg
- GWP: 16.1 kg CO2eq/kg</v>
          </cell>
          <cell r="F7" t="str">
            <v>no</v>
          </cell>
          <cell r="G7" t="str">
            <v>1 kg of refined metal</v>
          </cell>
          <cell r="H7" t="str">
            <v>cradle to entry gate (probabely raw material extractino to refining)
⇒ not further specified</v>
          </cell>
          <cell r="I7" t="str">
            <v>-- intransparent</v>
          </cell>
          <cell r="J7" t="str">
            <v>Nickel class I</v>
          </cell>
          <cell r="K7" t="str">
            <v xml:space="preserve">Not included in final data because paper copied the values from their previous (2000) publication. </v>
          </cell>
        </row>
        <row r="8">
          <cell r="A8" t="str">
            <v>Winjobi et al (2022)</v>
          </cell>
          <cell r="B8" t="str">
            <v>Life-cycle analysis, by global region, of automotive lithium-ion nickel manganese cobalt batteries of varying nickel content</v>
          </cell>
          <cell r="C8" t="str">
            <v>https://www.sciencedirect.com/science/article/pii/S221499372200029X?via%3Dihub</v>
          </cell>
          <cell r="D8" t="str">
            <v>Literature</v>
          </cell>
          <cell r="E8" t="str">
            <v>3.65 kg CO2eq/kg (see SI Table S13)</v>
          </cell>
          <cell r="F8" t="str">
            <v>probably no</v>
          </cell>
          <cell r="G8" t="str">
            <v>1kWh of battery capacity</v>
          </cell>
          <cell r="H8" t="str">
            <v>see screenshot</v>
          </cell>
          <cell r="I8" t="str">
            <v>- intransparent</v>
          </cell>
          <cell r="J8" t="str">
            <v>Nickel sulphate</v>
          </cell>
          <cell r="K8" t="str">
            <v xml:space="preserve">Not included in final data because paper has a modified value für NiSO4 in SI Table 13 but its based on GREET and the focus of the paper is on Li not Ni </v>
          </cell>
        </row>
        <row r="9">
          <cell r="A9" t="str">
            <v>Nickel Institute (2021)</v>
          </cell>
          <cell r="B9" t="str">
            <v>Life cycle data class 1 nickel</v>
          </cell>
          <cell r="D9" t="str">
            <v>Report</v>
          </cell>
          <cell r="E9" t="str">
            <v>13 kg CO2 eq / kg of Class 1 nickel (&gt;99.8%)</v>
          </cell>
          <cell r="F9" t="str">
            <v>yes ⇒ data from 24 production sites from nine Nickel Institute member companies https://nickelinstitute.org/policy/nickel-life-cycle-management/nickel-life-cycle-data/</v>
          </cell>
          <cell r="G9" t="str">
            <v>1 kg of Class 1 nickel (&gt;99.8%)</v>
          </cell>
          <cell r="H9" t="str">
            <v>probably from ore extraction to class 1 nickel production</v>
          </cell>
          <cell r="I9" t="str">
            <v>+ transparent</v>
          </cell>
          <cell r="J9" t="str">
            <v>Nickel class I</v>
          </cell>
          <cell r="K9" t="str">
            <v>Not included in final data because value for NiSO4 is directly reported (w/o metal pathway)</v>
          </cell>
        </row>
        <row r="10">
          <cell r="A10" t="str">
            <v>Dai et al (2019)</v>
          </cell>
          <cell r="B10" t="str">
            <v>Life Cycle Analysis of Lithium-Ion Batteries for Automotive Applications</v>
          </cell>
          <cell r="C10" t="str">
            <v>https://www.mdpi.com/2313-0105/5/2/48</v>
          </cell>
          <cell r="D10" t="str">
            <v>Literature</v>
          </cell>
          <cell r="E10" t="str">
            <v>1.82 kg CO2e / kg of NMC111 powder</v>
          </cell>
          <cell r="F10" t="str">
            <v>they say that they use GREET (and that GREET was recently updated with primary data).. 
⇒ no</v>
          </cell>
          <cell r="G10" t="str">
            <v>of study: 1kWh</v>
          </cell>
          <cell r="H10" t="str">
            <v>see screenshot</v>
          </cell>
          <cell r="I10" t="str">
            <v>- intransparent</v>
          </cell>
          <cell r="J10" t="str">
            <v>Nickel sulphate</v>
          </cell>
          <cell r="K10" t="str">
            <v xml:space="preserve">Not included in final data because FU is 1 kg NCM811 → not easy to harmonise
</v>
          </cell>
        </row>
        <row r="11">
          <cell r="A11" t="str">
            <v>Majeau-Bettez et al (2011)</v>
          </cell>
          <cell r="B11" t="str">
            <v>Life Cycle Environmental Assessment of Lithium-Ion and Nickel Metal Hydride Batteries for Plug-In Hybrid and Battery Electric Vehicles</v>
          </cell>
          <cell r="C11" t="str">
            <v>https://pubs.acs.org/doi/10.1021/es103607c</v>
          </cell>
          <cell r="D11" t="str">
            <v>Literature</v>
          </cell>
          <cell r="E11" t="str">
            <v>-</v>
          </cell>
          <cell r="F11" t="str">
            <v>probably no</v>
          </cell>
          <cell r="G11" t="str">
            <v>of study: battery mass (kg) and nominal energy capacity (Wh, at 1 C-rate); “our main functional unit would roughly correspond to driving 100 km with  the PHEV efficiency set as target by the Electric Power Research 
Institute, (4) 0.53 MJ·km^–1”
of NiSO4 inventory: 1 kg of NiSO4</v>
          </cell>
          <cell r="H11" t="str">
            <v xml:space="preserve">see screenshot </v>
          </cell>
          <cell r="I11" t="str">
            <v>+ transparent</v>
          </cell>
          <cell r="J11" t="str">
            <v>Nickel sulphate</v>
          </cell>
          <cell r="K11" t="str">
            <v>Not included in final data because no impact provided for NiSO4
no aboslute values given ⇒ but inventories for NiSO4 
⇒ ATTENTION: production pathway does not require nickel class I</v>
          </cell>
        </row>
        <row r="12">
          <cell r="A12" t="str">
            <v>Van der Voet et al. (2018)</v>
          </cell>
          <cell r="B12" t="str">
            <v>Environmental Implications of Future Demand Scenarios for Metals: Methodology and Application to the Case of Seven Major Metals</v>
          </cell>
          <cell r="C12" t="str">
            <v>https://doi.org/10.1111/jiec.12722</v>
          </cell>
          <cell r="D12" t="str">
            <v>Literature</v>
          </cell>
          <cell r="E12" t="str">
            <v>22 kg CO2 eq / kg of refined Nickel</v>
          </cell>
          <cell r="F12" t="str">
            <v>probably → see foreground in comments</v>
          </cell>
          <cell r="G12" t="str">
            <v>kg CO2 eq / kg of refined metal</v>
          </cell>
          <cell r="H12" t="str">
            <v>cradle-to-gate</v>
          </cell>
          <cell r="I12" t="str">
            <v>- intransparent</v>
          </cell>
          <cell r="J12" t="str">
            <v>Nickel</v>
          </cell>
          <cell r="K12" t="str">
            <v xml:space="preserve">Not included in final data because no own inventory.  “[…] more specific process data […] have been collected for several of the metals (Verboon https://onlinelibrary.wiley.com/doi/10.1111/jiec.12722#jiec12722-bib-0053; Kuipers https://onlinelibrary.wiley.com/doi/10.1111/jiec.12722#jiec12722-bib-0020).” and they cite two master thesis I can’t find. </v>
          </cell>
        </row>
        <row r="13">
          <cell r="A13" t="str">
            <v>Kahn (2021)</v>
          </cell>
          <cell r="B13" t="str">
            <v>Parametric Life Cycle Modelling of Nickel Sulphate</v>
          </cell>
          <cell r="C13" t="str">
            <v>https://hdl.handle.net/11250/2824787</v>
          </cell>
          <cell r="D13" t="str">
            <v>Report</v>
          </cell>
          <cell r="E13" t="str">
            <v>6.8 kg CO2-eq per kg NiSO4</v>
          </cell>
          <cell r="F13" t="str">
            <v>No</v>
          </cell>
          <cell r="G13" t="str">
            <v>1 kg nickel sulphate</v>
          </cell>
          <cell r="H13" t="str">
            <v>cradle to gate → screenshot</v>
          </cell>
          <cell r="I13" t="str">
            <v>++ transparent</v>
          </cell>
          <cell r="J13" t="str">
            <v>Nickel sulphate</v>
          </cell>
          <cell r="K13" t="str">
            <v>Not included in final data because scenarios are very aggregated.
Master thesis</v>
          </cell>
        </row>
        <row r="14">
          <cell r="A14" t="str">
            <v>Paulikas et al. (2020)</v>
          </cell>
          <cell r="B14" t="str">
            <v>Life cycle climate change impacts of producing battery metals from land ores versus deep-sea polymetallic nodules</v>
          </cell>
          <cell r="C14" t="str">
            <v>https://doi.org/10.1016/j.jclepro.2020.123822</v>
          </cell>
          <cell r="D14" t="str">
            <v>Literature</v>
          </cell>
          <cell r="E14" t="str">
            <v>19.6 kg CO2e per kg nickel sulfate</v>
          </cell>
          <cell r="F14" t="str">
            <v>No</v>
          </cell>
          <cell r="G14" t="str">
            <v>kg Nickel sulfate</v>
          </cell>
          <cell r="H14" t="str">
            <v>cradle to gate</v>
          </cell>
          <cell r="I14" t="str">
            <v>+ transparent</v>
          </cell>
          <cell r="J14" t="str">
            <v>Nickel sulphate</v>
          </cell>
          <cell r="K14" t="str">
            <v>Not included in final data because they compare impacts of land mining and deep sea nodules in the period 2017 to 2047 and take data from other studies → future scenario and no own inventory</v>
          </cell>
        </row>
      </sheetData>
      <sheetData sheetId="7">
        <row r="1">
          <cell r="A1" t="str">
            <v>Source</v>
          </cell>
          <cell r="B1" t="str">
            <v>Title</v>
          </cell>
          <cell r="C1" t="str">
            <v>Link</v>
          </cell>
          <cell r="D1" t="str">
            <v>Source type</v>
          </cell>
          <cell r="E1" t="str">
            <v>Total emissions [kgCO2eq/kg]</v>
          </cell>
          <cell r="F1" t="str">
            <v>Harmonised emissions [kg_CO2eq/kg_NiSO4_anhydrous]</v>
          </cell>
          <cell r="G1" t="str">
            <v>Primary data?</v>
          </cell>
          <cell r="H1" t="str">
            <v>Functional unit?</v>
          </cell>
          <cell r="I1" t="str">
            <v>System boundaries</v>
          </cell>
          <cell r="J1" t="str">
            <v>Methodological transparency</v>
          </cell>
          <cell r="K1" t="str">
            <v>Process / ore type?</v>
          </cell>
          <cell r="L1" t="str">
            <v>Found via</v>
          </cell>
          <cell r="M1" t="str">
            <v>Location of production</v>
          </cell>
          <cell r="N1" t="str">
            <v>Mine</v>
          </cell>
        </row>
        <row r="2">
          <cell r="A2" t="str">
            <v>Nickel Institute (2021)</v>
          </cell>
          <cell r="B2" t="str">
            <v>Nickel sulphate life cycle data</v>
          </cell>
          <cell r="C2" t="str">
            <v>https://nickelinstitute.org/en/policy/nickel-life-cycle-management/nickel-life-cycle-data/</v>
          </cell>
          <cell r="D2" t="str">
            <v>Report</v>
          </cell>
          <cell r="E2" t="str">
            <v>4 kg CO2eq/ kg NiSO4.6(H2O) (22% of Ni content)</v>
          </cell>
          <cell r="F2" t="str">
            <v xml:space="preserve">6.79393 kg_CO2e/kg_NiSO4_anh
</v>
          </cell>
          <cell r="G2" t="str">
            <v>yes ⇒ data from 24 production sites from nine Nickel Institute member companies https://nickelinstitute.org/policy/nickel-life-cycle-management/nickel-life-cycle-data/</v>
          </cell>
          <cell r="H2" t="str">
            <v>kg NiSO4.6(H2O)</v>
          </cell>
          <cell r="I2" t="str">
            <v>probably from ore extraction to nickel sulphate production</v>
          </cell>
          <cell r="J2" t="str">
            <v>+ transparent, ++ transparent</v>
          </cell>
          <cell r="K2" t="str">
            <v>Nickel sulfate</v>
          </cell>
          <cell r="L2" t="str">
            <v>google search</v>
          </cell>
          <cell r="M2" t="str">
            <v>Global</v>
          </cell>
        </row>
        <row r="3">
          <cell r="A3" t="str">
            <v>Wei et al (2020)</v>
          </cell>
          <cell r="B3" t="str">
            <v>Energy Consumption and Greenhouse Gas Emissions of Nickel Products</v>
          </cell>
          <cell r="C3" t="str">
            <v>https://www.mdpi.com/1996-1073/13/21/5664</v>
          </cell>
          <cell r="D3" t="str">
            <v>Literature</v>
          </cell>
          <cell r="E3" t="str">
            <v xml:space="preserve">Sulfide ore: 
required production energy: 174 GJ/t alloy (Ni metal = 100%Ni)
associated GHG emissions: 14 tCO2-eq/t alloy (alloy = Ni metal)
</v>
          </cell>
          <cell r="F3" t="str">
            <v>6.182178371 kg_CO2e/kg_NiSO4_anh</v>
          </cell>
          <cell r="G3" t="str">
            <v>probably no</v>
          </cell>
          <cell r="H3" t="str">
            <v>one ton of nickel alloy product
alloy in our case = Ni metal (=100%Ni)</v>
          </cell>
          <cell r="I3" t="str">
            <v>see Chapter 3.1 ⇒ system boundary includes the mining, pre-processing (beneficiation, drying, calcination, sulfidation, sintering), smelting, post-processing settling, converting, refining, roasting)</v>
          </cell>
          <cell r="J3" t="str">
            <v>+ transparent, - intransparent</v>
          </cell>
          <cell r="K3" t="str">
            <v>Nickel class I</v>
          </cell>
          <cell r="L3" t="str">
            <v>systematic lit rev</v>
          </cell>
          <cell r="M3" t="str">
            <v>Australia</v>
          </cell>
        </row>
        <row r="4">
          <cell r="A4" t="str">
            <v>Norgate &amp; Rankin (2000)</v>
          </cell>
          <cell r="B4" t="str">
            <v>Life cycle assessment of copper and nickel production</v>
          </cell>
          <cell r="C4" t="str">
            <v>https://www.researchgate.net/publication/279666598_Life_cycle_assessment_of_copper_and_nickel_production</v>
          </cell>
          <cell r="D4" t="str">
            <v>Literature</v>
          </cell>
          <cell r="E4" t="str">
            <v>sulfide ores (flash furnace smelting and Sheritt-Gordon refining)
- total energy: 114 MJ/kg
- GWP: 11.4 kg CO2eq/kg
laterite ores (pressure acid leaching and solvent extraction (SX)/electrowinning (EW))
- total energy: 194 MJ/kg
- GWP: 16.1 kg CO2eq/kg</v>
          </cell>
          <cell r="F4" t="str">
            <v>Sulph: 5.144152447 kg_CO2e/kg_NiSO4_anh
Lat: 7.020583925 kg_CO2e/kg_NiSO4_anh</v>
          </cell>
          <cell r="G4" t="str">
            <v>no</v>
          </cell>
          <cell r="H4" t="str">
            <v>kg Ni metal</v>
          </cell>
          <cell r="I4" t="str">
            <v>from cradle to end of refining</v>
          </cell>
          <cell r="J4" t="str">
            <v>- intransparent</v>
          </cell>
          <cell r="K4" t="str">
            <v>Nickel class I</v>
          </cell>
          <cell r="L4" t="str">
            <v>backward citation</v>
          </cell>
          <cell r="M4" t="str">
            <v>Unclear</v>
          </cell>
        </row>
        <row r="5">
          <cell r="A5" t="str">
            <v>Deng &amp; Gong (2018)</v>
          </cell>
          <cell r="B5" t="str">
            <v>Life Cycle Assessment of Nickel Production in China</v>
          </cell>
          <cell r="C5" t="str">
            <v>https://www.scientific.net/MSF.913.1004</v>
          </cell>
          <cell r="D5" t="str">
            <v>Literature</v>
          </cell>
          <cell r="E5" t="str">
            <v>26.90kg CO2 eq / kg electrolytic nickel</v>
          </cell>
          <cell r="F5" t="str">
            <v>11.332383917 kg_CO2e/kg_NiSO4_anh</v>
          </cell>
          <cell r="G5" t="str">
            <v>no 
data from national statstic or process data. emissions calculated based on IPCC.</v>
          </cell>
          <cell r="H5" t="str">
            <v>1kg electrolytic nickel</v>
          </cell>
          <cell r="I5" t="str">
            <v>see screenshot</v>
          </cell>
          <cell r="J5" t="str">
            <v>- intransparent</v>
          </cell>
          <cell r="K5" t="str">
            <v>Nickel class I</v>
          </cell>
          <cell r="L5" t="str">
            <v>backward citation</v>
          </cell>
          <cell r="M5" t="str">
            <v>China</v>
          </cell>
        </row>
        <row r="6">
          <cell r="A6" t="str">
            <v>Mistry et al (2016)</v>
          </cell>
          <cell r="B6" t="str">
            <v>Life cycle assessment of nickel products</v>
          </cell>
          <cell r="C6" t="str">
            <v>https://link.springer.com/article/10.1007/s11367-016-1085-x</v>
          </cell>
          <cell r="D6" t="str">
            <v>Literature</v>
          </cell>
          <cell r="E6" t="str">
            <v>7.64 kg CO2e/kg class 1 nickel</v>
          </cell>
          <cell r="F6" t="str">
            <v>3.6430072646 kg_CO2e/kg_NiSO4_anh</v>
          </cell>
          <cell r="G6" t="str">
            <v>yes</v>
          </cell>
          <cell r="H6" t="str">
            <v>1 kg of nickel contained in nickel product at factory gate ⇒ class 1 nickel is defined as 100% nickel</v>
          </cell>
          <cell r="I6" t="str">
            <v>see screenshot</v>
          </cell>
          <cell r="J6" t="str">
            <v>+ transparent, ++ transparent</v>
          </cell>
          <cell r="K6" t="str">
            <v>Nickel class I</v>
          </cell>
          <cell r="L6" t="str">
            <v>backward citation</v>
          </cell>
          <cell r="M6" t="str">
            <v>Global</v>
          </cell>
        </row>
        <row r="7">
          <cell r="A7" t="str">
            <v>Norgate and Jahanshahi (2011)</v>
          </cell>
          <cell r="B7" t="str">
            <v>Assessing the energy and greenhouse gas footprints of nickel laterite processing</v>
          </cell>
          <cell r="C7" t="str">
            <v>https://www.sciencedirect.com/science/article/pii/S0892687510002803#t0005</v>
          </cell>
          <cell r="D7" t="str">
            <v>Literature</v>
          </cell>
          <cell r="E7" t="str">
            <v>HPAL: 22.7 t CO2e/ t Ni metal
(without acid plant: 27.3 t CO2e/ t Ni metal)</v>
          </cell>
          <cell r="F7" t="str">
            <v>9.655572809 kg_CO2e/kg_NiSO4_anh</v>
          </cell>
          <cell r="G7" t="str">
            <v>no</v>
          </cell>
          <cell r="H7" t="str">
            <v>1 ton of nickel metal</v>
          </cell>
          <cell r="I7" t="str">
            <v>see screenshot</v>
          </cell>
          <cell r="J7" t="str">
            <v>-- intransparent</v>
          </cell>
          <cell r="K7" t="str">
            <v>Nickel class I</v>
          </cell>
          <cell r="L7" t="str">
            <v>backward citation</v>
          </cell>
          <cell r="M7" t="str">
            <v>Australia, Unclear</v>
          </cell>
        </row>
        <row r="8">
          <cell r="A8" t="str">
            <v>Bai et al (2022)</v>
          </cell>
          <cell r="B8" t="str">
            <v>Strategies for improving the environmental perfomance of nickel production in China: Insight into a life cycle assessment</v>
          </cell>
          <cell r="C8" t="str">
            <v>https://www.sciencedirect.com/science/article/pii/S0301479722005229?via%3Dihub</v>
          </cell>
          <cell r="D8" t="str">
            <v>Literature</v>
          </cell>
          <cell r="E8" t="str">
            <v>GFEM: 24.30 kg CO2e/kg nickel metal (Grinding, Flotation Electrolytic Method)
LEM: 18.50 kg CO2e/kg nickel metal (Leaching, Electrowinning Method)</v>
          </cell>
          <cell r="F8" t="str">
            <v>GFEM: 10.294357993 kg_CO2e/kg_NiSO4_anh
LEM: 7.978761701 kg_CO2e/kg_NiSO4_anh</v>
          </cell>
          <cell r="G8" t="str">
            <v>publication based on primary data studies, but no original primary data intorduced</v>
          </cell>
          <cell r="H8" t="str">
            <v>1 ton of electrolytic nickel production</v>
          </cell>
          <cell r="I8" t="str">
            <v>see screenshot</v>
          </cell>
          <cell r="J8" t="str">
            <v>++ transparent</v>
          </cell>
          <cell r="K8" t="str">
            <v>Nickel class I</v>
          </cell>
          <cell r="L8" t="str">
            <v>backward citation</v>
          </cell>
          <cell r="M8" t="str">
            <v>China</v>
          </cell>
        </row>
        <row r="9">
          <cell r="A9" t="str">
            <v>Bollwein (2022)</v>
          </cell>
          <cell r="B9" t="str">
            <v>Comparative life cycle assessment of prospective battery-grade material production in Norway</v>
          </cell>
          <cell r="C9" t="str">
            <v>https://hdl.handle.net/11250/3023809</v>
          </cell>
          <cell r="D9" t="str">
            <v>Report</v>
          </cell>
          <cell r="E9" t="str">
            <v xml:space="preserve">3.92 kgCO2eq. per kg nickel sulfate anhydrous </v>
          </cell>
          <cell r="F9" t="str">
            <v>3.92 kg_CO2e/kg_NiSO4_anh</v>
          </cell>
          <cell r="G9" t="str">
            <v>yes</v>
          </cell>
          <cell r="H9" t="str">
            <v>1 kg Nickel sulfate anhydrous  (hypothesized)</v>
          </cell>
          <cell r="I9" t="str">
            <v>screenshot</v>
          </cell>
          <cell r="J9" t="str">
            <v>+ transparent</v>
          </cell>
          <cell r="K9" t="str">
            <v>Nickel sulfate</v>
          </cell>
          <cell r="L9" t="str">
            <v>google search</v>
          </cell>
          <cell r="M9" t="str">
            <v>Canada, Norway</v>
          </cell>
          <cell r="N9" t="str">
            <v>Glencore Nikkelverk</v>
          </cell>
        </row>
        <row r="10">
          <cell r="A10" t="str">
            <v>GREET 2022 [mixed]</v>
          </cell>
          <cell r="B10" t="str">
            <v>GREET 2022 .net</v>
          </cell>
          <cell r="C10" t="str">
            <v>https://greet.anl.gov/</v>
          </cell>
          <cell r="D10" t="str">
            <v>Database</v>
          </cell>
          <cell r="E10" t="str">
            <v>7,0261 kg_CO2e/kg_NiSO4 anhydrous</v>
          </cell>
          <cell r="F10" t="str">
            <v>7,0261  kg_CO2e/kg_NiSO4_anh</v>
          </cell>
          <cell r="H10" t="str">
            <v>1 kg Nickel sulfate anhydrous</v>
          </cell>
          <cell r="K10" t="str">
            <v>Nickel sulfate</v>
          </cell>
        </row>
        <row r="11">
          <cell r="A11" t="str">
            <v>GREET 2022 [Lat-Lim (no metal intermediate)]</v>
          </cell>
          <cell r="B11" t="str">
            <v>GREET 2022 .net</v>
          </cell>
          <cell r="C11" t="str">
            <v>https://greet.anl.gov/</v>
          </cell>
          <cell r="D11" t="str">
            <v>Database</v>
          </cell>
          <cell r="E11" t="str">
            <v>10,3016 kg_CO2e/kg_NiSO4 anhydrous</v>
          </cell>
          <cell r="F11" t="str">
            <v>10,3016  kg_CO2e/kg_NiSO4_anh</v>
          </cell>
          <cell r="H11" t="str">
            <v>1 kg Nickel sulfate anhydrous</v>
          </cell>
          <cell r="K11" t="str">
            <v>Nickel sulfate</v>
          </cell>
        </row>
        <row r="12">
          <cell r="A12" t="str">
            <v>GREET 2022 [Sulph]</v>
          </cell>
          <cell r="B12" t="str">
            <v>GREET 2022 .net</v>
          </cell>
          <cell r="C12" t="str">
            <v>https://greet.anl.gov/</v>
          </cell>
          <cell r="D12" t="str">
            <v>Database</v>
          </cell>
          <cell r="E12" t="str">
            <v>3,4697 kg_CO2e/kg_NiSO4 anhydrous</v>
          </cell>
          <cell r="F12" t="str">
            <v>3,4697  kg_CO2e/kg_NiSO4_anh</v>
          </cell>
          <cell r="H12" t="str">
            <v>1 kg Nickel sulfate anhydrous</v>
          </cell>
          <cell r="K12" t="str">
            <v>Nickel sulfate</v>
          </cell>
        </row>
        <row r="13">
          <cell r="A13" t="str">
            <v>GREET 2022 [Lat-Lim]</v>
          </cell>
          <cell r="B13" t="str">
            <v>GREET 2022 .net</v>
          </cell>
          <cell r="C13" t="str">
            <v>https://greet.anl.gov/</v>
          </cell>
          <cell r="D13" t="str">
            <v>Database</v>
          </cell>
          <cell r="E13" t="str">
            <v>15,2099 kg_CO2e/kg_NiSO4 anhydrous</v>
          </cell>
          <cell r="F13" t="str">
            <v>15,2099  kg_CO2e/kg_NiSO4_anh</v>
          </cell>
          <cell r="H13" t="str">
            <v>1 kg Nickel sulfate anhydrous</v>
          </cell>
          <cell r="K13" t="str">
            <v>Nickel sulfate</v>
          </cell>
        </row>
        <row r="14">
          <cell r="A14" t="str">
            <v>EI 3.9.1</v>
          </cell>
          <cell r="B14" t="str">
            <v>nickel sulfate production</v>
          </cell>
          <cell r="C14" t="str">
            <v>https://ecoquery.ecoinvent.org/3.9.1/cutoff/dataset/113/documentation</v>
          </cell>
          <cell r="D14" t="str">
            <v>Database</v>
          </cell>
          <cell r="E14" t="str">
            <v>7,5907 kg_CO2e/kg_NiSO4</v>
          </cell>
          <cell r="F14" t="str">
            <v>7,5907  kg_CO2e/kg_NiSO4_anh</v>
          </cell>
          <cell r="H14" t="str">
            <v>1 kg Nickel sulfate anhydrous</v>
          </cell>
          <cell r="K14" t="str">
            <v>Nickel sulfate</v>
          </cell>
          <cell r="M14" t="str">
            <v>Global</v>
          </cell>
          <cell r="N14" t="str">
            <v>Gendorf</v>
          </cell>
        </row>
        <row r="15">
          <cell r="A15" t="str">
            <v>EI 3.9.1 [Sulph, CN]</v>
          </cell>
          <cell r="B15" t="str">
            <v>nickel, class 1 smelting and refining of nickel concentrate, 7% Ni</v>
          </cell>
          <cell r="C15" t="str">
            <v>https://ecoquery.ecoinvent.org/3.9.1/cutoff/dataset/23679/documentation</v>
          </cell>
          <cell r="D15" t="str">
            <v>Database</v>
          </cell>
          <cell r="E15" t="str">
            <v>33,925 kg_CO2e/kg_Ni_metal</v>
          </cell>
          <cell r="F15" t="str">
            <v>14.1370501155 kg_CO2e/kg_NiSO4_anh</v>
          </cell>
          <cell r="H15" t="str">
            <v>1 kg Nickel metal</v>
          </cell>
          <cell r="K15" t="str">
            <v>Nickel class I</v>
          </cell>
          <cell r="M15" t="str">
            <v>China</v>
          </cell>
        </row>
        <row r="16">
          <cell r="A16" t="str">
            <v>EI 3.9.1 [from cobalt production, GLO]</v>
          </cell>
          <cell r="B16" t="str">
            <v>nickel, class 1 cobalt production</v>
          </cell>
          <cell r="C16" t="str">
            <v>https://ecoquery.ecoinvent.org/3.9.1/cutoff/dataset/23006/impact_assessment</v>
          </cell>
          <cell r="D16" t="str">
            <v>Database</v>
          </cell>
          <cell r="E16" t="str">
            <v>18,814 kg_CO2e/kg_Ni_metal</v>
          </cell>
          <cell r="F16" t="str">
            <v>8.10412329336 kg_CO2e/kg_NiSO4_anh</v>
          </cell>
          <cell r="H16" t="str">
            <v>1 kg Nickel metal</v>
          </cell>
          <cell r="K16" t="str">
            <v>Nickel class I</v>
          </cell>
          <cell r="M16" t="str">
            <v>Global</v>
          </cell>
        </row>
        <row r="17">
          <cell r="A17" t="str">
            <v>EI 3.9.1 [Sulph, GLO]</v>
          </cell>
          <cell r="B17" t="str">
            <v>nickel, class 1 processing of nickelrich materials</v>
          </cell>
          <cell r="C17" t="str">
            <v>https://ecoquery.ecoinvent.org/3.9.1/cutoff/dataset/22681/impact_assessment</v>
          </cell>
          <cell r="D17" t="str">
            <v>Database</v>
          </cell>
          <cell r="E17" t="str">
            <v>5,627 kg_CO2e/kg_Ni_metal</v>
          </cell>
          <cell r="F17" t="str">
            <v>2.83933565498 kg_CO2e/kg_NiSO4_anh</v>
          </cell>
          <cell r="H17" t="str">
            <v>1 kg Nickel metal</v>
          </cell>
          <cell r="K17" t="str">
            <v>Nickel class I</v>
          </cell>
          <cell r="M17" t="str">
            <v>Global</v>
          </cell>
        </row>
        <row r="18">
          <cell r="A18" t="str">
            <v>EI 3.9.1 [Sulph, GLO]</v>
          </cell>
          <cell r="B18" t="str">
            <v>nickel, class 1 smelting and refining of nickel concentrate, 16% Ni</v>
          </cell>
          <cell r="C18" t="str">
            <v>https://ecoquery.ecoinvent.org/3.9.1/cutoff/dataset/13353/impact_assessment</v>
          </cell>
          <cell r="D18" t="str">
            <v>Database</v>
          </cell>
          <cell r="E18" t="str">
            <v>10,495 kg_CO2e/kg_Ni_metal</v>
          </cell>
          <cell r="F18" t="str">
            <v>4.7828395773 kg_CO2e/kg_NiSO4_anh</v>
          </cell>
          <cell r="H18" t="str">
            <v>1 kg Nickel metal</v>
          </cell>
          <cell r="K18" t="str">
            <v>Nickel class I</v>
          </cell>
          <cell r="M18" t="str">
            <v>Global</v>
          </cell>
        </row>
        <row r="19">
          <cell r="A19" t="str">
            <v>EI 3.9.1 [Sulph, RU]</v>
          </cell>
          <cell r="B19" t="str">
            <v>nickel, class 1 platinum group metal mine operation, ore with high palladium content</v>
          </cell>
          <cell r="C19" t="str">
            <v>https://ecoquery.ecoinvent.org/3.9.1/cutoff/dataset/5172/impact_assessment</v>
          </cell>
          <cell r="D19" t="str">
            <v>Database</v>
          </cell>
          <cell r="E19" t="str">
            <v>8,5474 kg_CO2e/kg_Ni_metal</v>
          </cell>
          <cell r="F19" t="str">
            <v>4.005278312076 kg_CO2e/kg_NiSO4_anh</v>
          </cell>
          <cell r="H19" t="str">
            <v>1 kg Nickel metal</v>
          </cell>
          <cell r="K19" t="str">
            <v>Nickel class I</v>
          </cell>
          <cell r="M19" t="str">
            <v>Russia</v>
          </cell>
        </row>
        <row r="20">
          <cell r="A20" t="str">
            <v>T&amp;E Briefing</v>
          </cell>
          <cell r="B20" t="str">
            <v>Paving the way to cleaner nickel - Nickel in batteries and how to secure it sustainably</v>
          </cell>
          <cell r="C20" t="str">
            <v>https://www.transportenvironment.org/discover/paving-the-way-to-cleaner-nickel/</v>
          </cell>
          <cell r="D20" t="str">
            <v>Report</v>
          </cell>
          <cell r="E20" t="str">
            <v>Laterite-Limonite (NC: HPAL): 28.97 [kg_CO2e/kg_Ni_in_NiSO₄·6H₂O]
Laterite-Limonite (ID: HPAL): 33.3 [kg_CO2e/kg_Ni_in_NiSO₄·6H₂O]
Laterite-Saperolite (ID: RKEF): 97.9 [kg_CO2e/kg_Ni_in_NiSO₄·6H₂O]</v>
          </cell>
          <cell r="F20" t="str">
            <v>Laterite-Limonite (NC: HPAL): 10.9871622 [kg_CO2e/kg_NiSO4_anh]
Laterite-Limonite (ID: HPAL): 12.629358 [kg_CO2e/kg_NiSO4_anh]
Laterite-Saperolite (ID: RKEF): 37.129554 [kg_CO2e/kg_NiSO4_anh]</v>
          </cell>
          <cell r="G20" t="str">
            <v>no</v>
          </cell>
          <cell r="H20" t="str">
            <v>1 kg Ni in Nickel sulfate heptahydrate</v>
          </cell>
          <cell r="I20" t="str">
            <v>unclear</v>
          </cell>
          <cell r="J20" t="str">
            <v>-- intransparent</v>
          </cell>
          <cell r="K20" t="str">
            <v>Nickel sulfate</v>
          </cell>
          <cell r="L20" t="str">
            <v>google search</v>
          </cell>
          <cell r="M20" t="str">
            <v>Canada, China, Indonesia, New Caledonia, Russia</v>
          </cell>
          <cell r="N20" t="str">
            <v>Not specified</v>
          </cell>
        </row>
        <row r="21">
          <cell r="A21" t="str">
            <v>VDA Report</v>
          </cell>
          <cell r="B21" t="str">
            <v>PRODUCT CARBON FOOTPRINT OF NICKEL
SULFATE HEXAHYDRATE PRODUCTION</v>
          </cell>
          <cell r="C21" t="str">
            <v>https://26877240.fs1.hubspotusercontent-eu1.net/hubfs/26877240/Client%20Projects/VDA_Nickel_Sulfate_Hexahydrate_LCA_Report_2023.pdf</v>
          </cell>
          <cell r="D21" t="str">
            <v>Report</v>
          </cell>
          <cell r="E21" t="str">
            <v>Laterite-Limonite (ID: HPAL): 33.3 [kg_CO2e/kg_Ni_in_NiSO₄·6H₂O]
Laterite-Saperolite (ID: RKEF): 97.9 [kg_CO2e/kg_Ni_in_NiSO₄·6H₂O]</v>
          </cell>
          <cell r="F21" t="str">
            <v>Laterite-Limonite (ID: HPAL): 12.629358 [kg_CO2e/kg_NiSO4_anh]_x000D_
Laterite-Saperolite (ID: RKEF): 37.129554 [kg_CO2e/kg_NiSO4_anh]</v>
          </cell>
          <cell r="G21" t="str">
            <v>no</v>
          </cell>
          <cell r="H21" t="str">
            <v>1 kg Ni in Nickel sulfate heptahydrate</v>
          </cell>
          <cell r="I21" t="str">
            <v>see screenshot</v>
          </cell>
          <cell r="J21" t="str">
            <v>- intransparent</v>
          </cell>
          <cell r="K21" t="str">
            <v>Nickel sulfate</v>
          </cell>
          <cell r="L21" t="str">
            <v>google search</v>
          </cell>
          <cell r="M21" t="str">
            <v>China, Indonesia</v>
          </cell>
          <cell r="N21" t="str">
            <v>Not specified</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FE8EE-36FA-4926-9100-64842BE99C0A}">
  <dimension ref="A1:AK42"/>
  <sheetViews>
    <sheetView zoomScale="55" zoomScaleNormal="55" workbookViewId="0">
      <selection activeCell="J8" sqref="J8"/>
    </sheetView>
  </sheetViews>
  <sheetFormatPr defaultColWidth="9.109375" defaultRowHeight="14.4" x14ac:dyDescent="0.3"/>
  <cols>
    <col min="1" max="1" width="44.77734375" style="1" bestFit="1" customWidth="1"/>
    <col min="2" max="2" width="32.44140625" style="1" bestFit="1" customWidth="1"/>
    <col min="3" max="3" width="10.44140625" style="1" bestFit="1" customWidth="1"/>
    <col min="4" max="4" width="9.109375" style="1" customWidth="1"/>
    <col min="5" max="5" width="19.6640625" style="1" customWidth="1"/>
    <col min="6" max="9" width="9.109375" style="1" customWidth="1"/>
    <col min="10" max="10" width="45.44140625" style="1" customWidth="1"/>
    <col min="11" max="11" width="9.109375" style="1" customWidth="1"/>
    <col min="12" max="12" width="9.88671875" style="1" customWidth="1"/>
    <col min="13" max="17" width="9.109375" style="1" customWidth="1"/>
    <col min="18" max="18" width="10.109375" style="1" customWidth="1"/>
    <col min="19" max="19" width="15.6640625" style="1" customWidth="1"/>
    <col min="20" max="20" width="20" style="1" customWidth="1"/>
    <col min="21" max="22" width="9.109375" style="1" customWidth="1"/>
    <col min="23" max="23" width="36.6640625" style="1" customWidth="1"/>
    <col min="24" max="24" width="18.88671875" style="1" customWidth="1"/>
    <col min="25" max="30" width="9.109375" style="1"/>
    <col min="31" max="31" width="36" style="1" customWidth="1"/>
    <col min="32" max="32" width="39.44140625" style="1" customWidth="1"/>
    <col min="33" max="16384" width="9.109375" style="1"/>
  </cols>
  <sheetData>
    <row r="1" spans="1:37" x14ac:dyDescent="0.3">
      <c r="A1" s="85" t="s">
        <v>107</v>
      </c>
      <c r="B1" s="85"/>
      <c r="C1" s="85"/>
      <c r="E1" s="86" t="s">
        <v>145</v>
      </c>
      <c r="F1" s="86"/>
      <c r="G1" s="86"/>
      <c r="H1" s="86"/>
      <c r="I1" s="86"/>
      <c r="J1" s="86"/>
      <c r="K1" s="86"/>
      <c r="L1" s="86"/>
      <c r="M1" s="86"/>
      <c r="N1" s="86"/>
      <c r="O1" s="86"/>
      <c r="P1" s="86"/>
      <c r="Q1" s="86"/>
      <c r="R1" s="86"/>
      <c r="S1" s="87" t="s">
        <v>112</v>
      </c>
      <c r="T1" s="87"/>
      <c r="V1" s="88" t="s">
        <v>146</v>
      </c>
      <c r="W1" s="88"/>
      <c r="X1" s="88"/>
      <c r="Y1" s="88"/>
      <c r="Z1" s="88"/>
      <c r="AA1" s="88"/>
      <c r="AB1" s="88"/>
      <c r="AC1" s="88"/>
      <c r="AD1" s="88"/>
      <c r="AE1" s="88"/>
      <c r="AF1" s="88"/>
    </row>
    <row r="2" spans="1:37" ht="19.95" customHeight="1" x14ac:dyDescent="0.3">
      <c r="A2" s="48" t="s">
        <v>34</v>
      </c>
      <c r="B2" s="48" t="s">
        <v>64</v>
      </c>
      <c r="C2" s="48" t="s">
        <v>65</v>
      </c>
      <c r="D2" s="1" t="s">
        <v>35</v>
      </c>
      <c r="E2" s="81" t="str">
        <f>IF(ISBLANK('[1]Nickel Qualified Studies'!A1),"",'[1]Nickel Qualified Studies'!A1)</f>
        <v>Source</v>
      </c>
      <c r="F2" s="81" t="str">
        <f>IF(ISBLANK('[1]Nickel Qualified Studies'!B1),"",'[1]Nickel Qualified Studies'!B1)</f>
        <v>Title</v>
      </c>
      <c r="G2" s="81" t="str">
        <f>IF(ISBLANK('[1]Nickel Qualified Studies'!C1),"",'[1]Nickel Qualified Studies'!C1)</f>
        <v>Link</v>
      </c>
      <c r="H2" s="81" t="str">
        <f>IF(ISBLANK('[1]Nickel Qualified Studies'!D1),"",'[1]Nickel Qualified Studies'!D1)</f>
        <v>Source type</v>
      </c>
      <c r="I2" s="81" t="str">
        <f>IF(ISBLANK('[1]Nickel Qualified Studies'!E1),"",'[1]Nickel Qualified Studies'!E1)</f>
        <v>Total emissions [kgCO2eq/kg]</v>
      </c>
      <c r="J2" s="84" t="str">
        <f>IF(ISBLANK('[1]Nickel Qualified Studies'!F1),"",'[1]Nickel Qualified Studies'!F1)</f>
        <v>Harmonised emissions [kg_CO2eq/kg_NiSO4_anhydrous]</v>
      </c>
      <c r="K2" s="81" t="str">
        <f>IF(ISBLANK('[1]Nickel Qualified Studies'!G1),"",'[1]Nickel Qualified Studies'!G1)</f>
        <v>Primary data?</v>
      </c>
      <c r="L2" s="81" t="str">
        <f>IF(ISBLANK('[1]Nickel Qualified Studies'!H1),"",'[1]Nickel Qualified Studies'!H1)</f>
        <v>Functional unit?</v>
      </c>
      <c r="M2" s="81" t="str">
        <f>IF(ISBLANK('[1]Nickel Qualified Studies'!I1),"",'[1]Nickel Qualified Studies'!I1)</f>
        <v>System boundaries</v>
      </c>
      <c r="N2" s="81" t="str">
        <f>IF(ISBLANK('[1]Nickel Qualified Studies'!J1),"",'[1]Nickel Qualified Studies'!J1)</f>
        <v>Methodological transparency</v>
      </c>
      <c r="O2" s="81" t="str">
        <f>IF(ISBLANK('[1]Nickel Qualified Studies'!K1),"",'[1]Nickel Qualified Studies'!K1)</f>
        <v>Process / ore type?</v>
      </c>
      <c r="P2" s="81" t="str">
        <f>IF(ISBLANK('[1]Nickel Qualified Studies'!L1),"",'[1]Nickel Qualified Studies'!L1)</f>
        <v>Found via</v>
      </c>
      <c r="Q2" s="81" t="str">
        <f>IF(ISBLANK('[1]Nickel Qualified Studies'!M1),"",'[1]Nickel Qualified Studies'!M1)</f>
        <v>Location of production</v>
      </c>
      <c r="R2" s="81" t="str">
        <f>IF(ISBLANK('[1]Nickel Qualified Studies'!N1),"",'[1]Nickel Qualified Studies'!N1)</f>
        <v>Mine</v>
      </c>
      <c r="S2" s="82" t="s">
        <v>105</v>
      </c>
      <c r="T2" s="83" t="s">
        <v>109</v>
      </c>
      <c r="U2" s="6" t="s">
        <v>35</v>
      </c>
      <c r="V2" s="49" t="str">
        <f>IF(ISBLANK('[1]Nickel Peripheral Studies'!A1),"",'[1]Nickel Peripheral Studies'!A1)</f>
        <v>Source</v>
      </c>
      <c r="W2" s="49" t="str">
        <f>IF(ISBLANK('[1]Nickel Peripheral Studies'!B1),"",'[1]Nickel Peripheral Studies'!B1)</f>
        <v>Title</v>
      </c>
      <c r="X2" s="49" t="str">
        <f>IF(ISBLANK('[1]Nickel Peripheral Studies'!C1),"",'[1]Nickel Peripheral Studies'!C1)</f>
        <v>Link</v>
      </c>
      <c r="Y2" s="49" t="str">
        <f>IF(ISBLANK('[1]Nickel Peripheral Studies'!D1),"",'[1]Nickel Peripheral Studies'!D1)</f>
        <v>Source type</v>
      </c>
      <c r="Z2" s="49" t="str">
        <f>IF(ISBLANK('[1]Nickel Peripheral Studies'!E1),"",'[1]Nickel Peripheral Studies'!E1)</f>
        <v>Total emissions</v>
      </c>
      <c r="AA2" s="49" t="str">
        <f>IF(ISBLANK('[1]Nickel Peripheral Studies'!F1),"",'[1]Nickel Peripheral Studies'!F1)</f>
        <v>Primary data?</v>
      </c>
      <c r="AB2" s="49" t="str">
        <f>IF(ISBLANK('[1]Nickel Peripheral Studies'!G1),"",'[1]Nickel Peripheral Studies'!G1)</f>
        <v>Functional unit?</v>
      </c>
      <c r="AC2" s="49" t="str">
        <f>IF(ISBLANK('[1]Nickel Peripheral Studies'!H1),"",'[1]Nickel Peripheral Studies'!H1)</f>
        <v>System boundaries</v>
      </c>
      <c r="AD2" s="49" t="str">
        <f>IF(ISBLANK('[1]Nickel Peripheral Studies'!I1),"",'[1]Nickel Peripheral Studies'!I1)</f>
        <v>Methodological transparency</v>
      </c>
      <c r="AE2" s="49" t="str">
        <f>IF(ISBLANK('[1]Nickel Peripheral Studies'!J1),"",'[1]Nickel Peripheral Studies'!J1)</f>
        <v>Process / ore type?</v>
      </c>
      <c r="AF2" s="49" t="str">
        <f>IF(ISBLANK('[1]Nickel Peripheral Studies'!K1),"",'[1]Nickel Peripheral Studies'!K1)</f>
        <v>Comment</v>
      </c>
      <c r="AH2" s="6"/>
      <c r="AI2" s="6"/>
      <c r="AJ2" s="6"/>
      <c r="AK2" s="6"/>
    </row>
    <row r="3" spans="1:37" ht="27.45" customHeight="1" x14ac:dyDescent="0.3">
      <c r="A3" s="2" t="s">
        <v>43</v>
      </c>
      <c r="B3" s="2">
        <v>6.7939299999999996</v>
      </c>
      <c r="C3" s="2" t="s">
        <v>67</v>
      </c>
      <c r="D3" s="1" t="str">
        <f>IF(E3="Nickel Institute (2021)","","ERROR - check row order of Notion export")</f>
        <v/>
      </c>
      <c r="E3" s="73" t="str">
        <f>IF(ISBLANK('[1]Nickel Qualified Studies'!A2),"",'[1]Nickel Qualified Studies'!A2)</f>
        <v>Nickel Institute (2021)</v>
      </c>
      <c r="F3" s="73" t="str">
        <f>IF(ISBLANK('[1]Nickel Qualified Studies'!B2),"",'[1]Nickel Qualified Studies'!B2)</f>
        <v>Nickel sulphate life cycle data</v>
      </c>
      <c r="G3" s="73" t="str">
        <f>IF(ISBLANK('[1]Nickel Qualified Studies'!C2),"",'[1]Nickel Qualified Studies'!C2)</f>
        <v>https://nickelinstitute.org/en/policy/nickel-life-cycle-management/nickel-life-cycle-data/</v>
      </c>
      <c r="H3" s="73" t="str">
        <f>IF(ISBLANK('[1]Nickel Qualified Studies'!D2),"",'[1]Nickel Qualified Studies'!D2)</f>
        <v>Report</v>
      </c>
      <c r="I3" s="73" t="str">
        <f>IF(ISBLANK('[1]Nickel Qualified Studies'!E2),"",'[1]Nickel Qualified Studies'!E2)</f>
        <v>4 kg CO2eq/ kg NiSO4.6(H2O) (22% of Ni content)</v>
      </c>
      <c r="J3" s="74" t="str">
        <f>IF(ISBLANK('[1]Nickel Qualified Studies'!F2),"",'[1]Nickel Qualified Studies'!F2)</f>
        <v xml:space="preserve">6.79393 kg_CO2e/kg_NiSO4_anh
</v>
      </c>
      <c r="K3" s="73" t="str">
        <f>IF(ISBLANK('[1]Nickel Qualified Studies'!G2),"",'[1]Nickel Qualified Studies'!G2)</f>
        <v>yes ⇒ data from 24 production sites from nine Nickel Institute member companies https://nickelinstitute.org/policy/nickel-life-cycle-management/nickel-life-cycle-data/</v>
      </c>
      <c r="L3" s="73" t="str">
        <f>IF(ISBLANK('[1]Nickel Qualified Studies'!H2),"",'[1]Nickel Qualified Studies'!H2)</f>
        <v>kg NiSO4.6(H2O)</v>
      </c>
      <c r="M3" s="73" t="str">
        <f>IF(ISBLANK('[1]Nickel Qualified Studies'!I2),"",'[1]Nickel Qualified Studies'!I2)</f>
        <v>probably from ore extraction to nickel sulphate production</v>
      </c>
      <c r="N3" s="73" t="str">
        <f>IF(ISBLANK('[1]Nickel Qualified Studies'!J2),"",'[1]Nickel Qualified Studies'!J2)</f>
        <v>+ transparent, ++ transparent</v>
      </c>
      <c r="O3" s="73" t="str">
        <f>IF(ISBLANK('[1]Nickel Qualified Studies'!K2),"",'[1]Nickel Qualified Studies'!K2)</f>
        <v>Nickel sulfate</v>
      </c>
      <c r="P3" s="73" t="str">
        <f>IF(ISBLANK('[1]Nickel Qualified Studies'!L2),"",'[1]Nickel Qualified Studies'!L2)</f>
        <v>google search</v>
      </c>
      <c r="Q3" s="73" t="str">
        <f>IF(ISBLANK('[1]Nickel Qualified Studies'!M2),"",'[1]Nickel Qualified Studies'!M2)</f>
        <v>Global</v>
      </c>
      <c r="R3" s="73" t="str">
        <f>IF(ISBLANK('[1]Nickel Qualified Studies'!N2),"",'[1]Nickel Qualified Studies'!N2)</f>
        <v/>
      </c>
      <c r="S3" s="77" t="b">
        <v>1</v>
      </c>
      <c r="T3" s="76"/>
      <c r="U3" s="6" t="s">
        <v>35</v>
      </c>
      <c r="V3" s="7" t="str">
        <f>IF(ISBLANK('[1]Nickel Peripheral Studies'!A2),"",'[1]Nickel Peripheral Studies'!A2)</f>
        <v>Yin et al (2019)</v>
      </c>
      <c r="W3" s="7" t="str">
        <f>IF(ISBLANK('[1]Nickel Peripheral Studies'!B2),"",'[1]Nickel Peripheral Studies'!B2)</f>
        <v>Life cycle inventories of the commonly used material for lithium-ion batteries in China</v>
      </c>
      <c r="X3" s="7" t="str">
        <f>IF(ISBLANK('[1]Nickel Peripheral Studies'!C2),"",'[1]Nickel Peripheral Studies'!C2)</f>
        <v>https://www.sciencedirect.com/science/article/pii/S0959652619312661?via%3Dihub#appsec1</v>
      </c>
      <c r="Y3" s="7" t="str">
        <f>IF(ISBLANK('[1]Nickel Peripheral Studies'!D2),"",'[1]Nickel Peripheral Studies'!D2)</f>
        <v>Literature</v>
      </c>
      <c r="Z3" s="7" t="str">
        <f>IF(ISBLANK('[1]Nickel Peripheral Studies'!E2),"",'[1]Nickel Peripheral Studies'!E2)</f>
        <v>-</v>
      </c>
      <c r="AA3" s="7" t="str">
        <f>IF(ISBLANK('[1]Nickel Peripheral Studies'!F2),"",'[1]Nickel Peripheral Studies'!F2)</f>
        <v>probably not</v>
      </c>
      <c r="AB3" s="7" t="str">
        <f>IF(ISBLANK('[1]Nickel Peripheral Studies'!G2),"",'[1]Nickel Peripheral Studies'!G2)</f>
        <v>1 kg of material</v>
      </c>
      <c r="AC3" s="7" t="str">
        <f>IF(ISBLANK('[1]Nickel Peripheral Studies'!H2),"",'[1]Nickel Peripheral Studies'!H2)</f>
        <v>see screenshot</v>
      </c>
      <c r="AD3" s="7" t="str">
        <f>IF(ISBLANK('[1]Nickel Peripheral Studies'!I2),"",'[1]Nickel Peripheral Studies'!I2)</f>
        <v>+ transparent, - intransparent</v>
      </c>
      <c r="AE3" s="7" t="str">
        <f>IF(ISBLANK('[1]Nickel Peripheral Studies'!J2),"",'[1]Nickel Peripheral Studies'!J2)</f>
        <v>Nickel sulphate</v>
      </c>
      <c r="AF3" s="7" t="str">
        <f>IF(ISBLANK('[1]Nickel Peripheral Studies'!K2),"",'[1]Nickel Peripheral Studies'!K2)</f>
        <v>Not included in final data because probably same inventory as in ecoinvent for NiSO4
emissions not specified for nickel sulfates... but compared to other studies at least an inventory approach (even if this was probably taken 1:1 from ecoinvent... 😞)</v>
      </c>
    </row>
    <row r="4" spans="1:37" ht="19.95" customHeight="1" x14ac:dyDescent="0.3">
      <c r="A4" s="2" t="s">
        <v>44</v>
      </c>
      <c r="B4" s="2">
        <v>6.182178371</v>
      </c>
      <c r="C4" s="2" t="s">
        <v>66</v>
      </c>
      <c r="D4" s="1" t="str">
        <f>IF(E4="Wei et al (2020)","","ERROR - check row order of Notion export")</f>
        <v/>
      </c>
      <c r="E4" s="73" t="str">
        <f>IF(ISBLANK('[1]Nickel Qualified Studies'!A3),"",'[1]Nickel Qualified Studies'!A3)</f>
        <v>Wei et al (2020)</v>
      </c>
      <c r="F4" s="73" t="str">
        <f>IF(ISBLANK('[1]Nickel Qualified Studies'!B3),"",'[1]Nickel Qualified Studies'!B3)</f>
        <v>Energy Consumption and Greenhouse Gas Emissions of Nickel Products</v>
      </c>
      <c r="G4" s="73" t="str">
        <f>IF(ISBLANK('[1]Nickel Qualified Studies'!C3),"",'[1]Nickel Qualified Studies'!C3)</f>
        <v>https://www.mdpi.com/1996-1073/13/21/5664</v>
      </c>
      <c r="H4" s="73" t="str">
        <f>IF(ISBLANK('[1]Nickel Qualified Studies'!D3),"",'[1]Nickel Qualified Studies'!D3)</f>
        <v>Literature</v>
      </c>
      <c r="I4" s="73" t="str">
        <f>IF(ISBLANK('[1]Nickel Qualified Studies'!E3),"",'[1]Nickel Qualified Studies'!E3)</f>
        <v xml:space="preserve">Sulfide ore: 
required production energy: 174 GJ/t alloy (Ni metal = 100%Ni)
associated GHG emissions: 14 tCO2-eq/t alloy (alloy = Ni metal)
</v>
      </c>
      <c r="J4" s="74" t="str">
        <f>IF(ISBLANK('[1]Nickel Qualified Studies'!F3),"",'[1]Nickel Qualified Studies'!F3)</f>
        <v>6.182178371 kg_CO2e/kg_NiSO4_anh</v>
      </c>
      <c r="K4" s="73" t="str">
        <f>IF(ISBLANK('[1]Nickel Qualified Studies'!G3),"",'[1]Nickel Qualified Studies'!G3)</f>
        <v>probably no</v>
      </c>
      <c r="L4" s="73" t="str">
        <f>IF(ISBLANK('[1]Nickel Qualified Studies'!H3),"",'[1]Nickel Qualified Studies'!H3)</f>
        <v>one ton of nickel alloy product
alloy in our case = Ni metal (=100%Ni)</v>
      </c>
      <c r="M4" s="73" t="str">
        <f>IF(ISBLANK('[1]Nickel Qualified Studies'!I3),"",'[1]Nickel Qualified Studies'!I3)</f>
        <v>see Chapter 3.1 ⇒ system boundary includes the mining, pre-processing (beneficiation, drying, calcination, sulfidation, sintering), smelting, post-processing settling, converting, refining, roasting)</v>
      </c>
      <c r="N4" s="73" t="str">
        <f>IF(ISBLANK('[1]Nickel Qualified Studies'!J3),"",'[1]Nickel Qualified Studies'!J3)</f>
        <v>+ transparent, - intransparent</v>
      </c>
      <c r="O4" s="73" t="str">
        <f>IF(ISBLANK('[1]Nickel Qualified Studies'!K3),"",'[1]Nickel Qualified Studies'!K3)</f>
        <v>Nickel class I</v>
      </c>
      <c r="P4" s="73" t="str">
        <f>IF(ISBLANK('[1]Nickel Qualified Studies'!L3),"",'[1]Nickel Qualified Studies'!L3)</f>
        <v>systematic lit rev</v>
      </c>
      <c r="Q4" s="73" t="str">
        <f>IF(ISBLANK('[1]Nickel Qualified Studies'!M3),"",'[1]Nickel Qualified Studies'!M3)</f>
        <v>Australia</v>
      </c>
      <c r="R4" s="73" t="str">
        <f>IF(ISBLANK('[1]Nickel Qualified Studies'!N3),"",'[1]Nickel Qualified Studies'!N3)</f>
        <v/>
      </c>
      <c r="S4" s="77" t="b">
        <v>1</v>
      </c>
      <c r="T4" s="76"/>
      <c r="U4" s="6" t="s">
        <v>35</v>
      </c>
      <c r="V4" s="7" t="str">
        <f>IF(ISBLANK('[1]Nickel Peripheral Studies'!A3),"",'[1]Nickel Peripheral Studies'!A3)</f>
        <v>Jiao et al (2020)</v>
      </c>
      <c r="W4" s="7" t="str">
        <f>IF(ISBLANK('[1]Nickel Peripheral Studies'!B3),"",'[1]Nickel Peripheral Studies'!B3)</f>
        <v>Environmental impacts assessment of nmc cathode mateiral production of power lithium-ion batteries</v>
      </c>
      <c r="X4" s="7" t="str">
        <f>IF(ISBLANK('[1]Nickel Peripheral Studies'!C3),"",'[1]Nickel Peripheral Studies'!C3)</f>
        <v>https://www.scientific.net/MSF.993.1456</v>
      </c>
      <c r="Y4" s="7" t="str">
        <f>IF(ISBLANK('[1]Nickel Peripheral Studies'!D3),"",'[1]Nickel Peripheral Studies'!D3)</f>
        <v>Literature</v>
      </c>
      <c r="Z4" s="7" t="str">
        <f>IF(ISBLANK('[1]Nickel Peripheral Studies'!E3),"",'[1]Nickel Peripheral Studies'!E3)</f>
        <v>-</v>
      </c>
      <c r="AA4" s="7" t="str">
        <f>IF(ISBLANK('[1]Nickel Peripheral Studies'!F3),"",'[1]Nickel Peripheral Studies'!F3)</f>
        <v>probably not for NiSO4 production 
⇒ they use primary data (on-site surveys of several representative LIB cathode material manufacturerers in Qingdao, Shandong Province (CN)) for NMC powder synthesis process</v>
      </c>
      <c r="AB4" s="7" t="str">
        <f>IF(ISBLANK('[1]Nickel Peripheral Studies'!G3),"",'[1]Nickel Peripheral Studies'!G3)</f>
        <v>1 kg of cathode material</v>
      </c>
      <c r="AC4" s="7" t="str">
        <f>IF(ISBLANK('[1]Nickel Peripheral Studies'!H3),"",'[1]Nickel Peripheral Studies'!H3)</f>
        <v>see screenshot</v>
      </c>
      <c r="AD4" s="7" t="str">
        <f>IF(ISBLANK('[1]Nickel Peripheral Studies'!I3),"",'[1]Nickel Peripheral Studies'!I3)</f>
        <v>+ transparent, - intransparent</v>
      </c>
      <c r="AE4" s="7" t="str">
        <f>IF(ISBLANK('[1]Nickel Peripheral Studies'!J3),"",'[1]Nickel Peripheral Studies'!J3)</f>
        <v>Nickel sulphate</v>
      </c>
      <c r="AF4" s="7" t="str">
        <f>IF(ISBLANK('[1]Nickel Peripheral Studies'!K3),"",'[1]Nickel Peripheral Studies'!K3)</f>
        <v>Not included in final data because only values for energy consumption ⇒ contact author, if GWP values available, study would fullfill criteria
- no SI
No absolute values given, but GWP for NiSO4 was calculated reliably ⇒ see screenshot ⇒ Contact the author</v>
      </c>
    </row>
    <row r="5" spans="1:37" ht="46.05" customHeight="1" x14ac:dyDescent="0.3">
      <c r="A5" s="2" t="s">
        <v>716</v>
      </c>
      <c r="B5" s="2">
        <v>5.1441524469999997</v>
      </c>
      <c r="C5" s="2" t="s">
        <v>66</v>
      </c>
      <c r="D5" s="1" t="str">
        <f>IF(E5="Norgate &amp; Rankin (2000)","","ERROR - check row order of Notion export")</f>
        <v/>
      </c>
      <c r="E5" s="73" t="str">
        <f>IF(ISBLANK('[1]Nickel Qualified Studies'!A4),"",'[1]Nickel Qualified Studies'!A4)</f>
        <v>Norgate &amp; Rankin (2000)</v>
      </c>
      <c r="F5" s="73" t="str">
        <f>IF(ISBLANK('[1]Nickel Qualified Studies'!B4),"",'[1]Nickel Qualified Studies'!B4)</f>
        <v>Life cycle assessment of copper and nickel production</v>
      </c>
      <c r="G5" s="73" t="str">
        <f>IF(ISBLANK('[1]Nickel Qualified Studies'!C4),"",'[1]Nickel Qualified Studies'!C4)</f>
        <v>https://www.researchgate.net/publication/279666598_Life_cycle_assessment_of_copper_and_nickel_production</v>
      </c>
      <c r="H5" s="73" t="str">
        <f>IF(ISBLANK('[1]Nickel Qualified Studies'!D4),"",'[1]Nickel Qualified Studies'!D4)</f>
        <v>Literature</v>
      </c>
      <c r="I5" s="73" t="str">
        <f>IF(ISBLANK('[1]Nickel Qualified Studies'!E4),"",'[1]Nickel Qualified Studies'!E4)</f>
        <v>sulfide ores (flash furnace smelting and Sheritt-Gordon refining)
- total energy: 114 MJ/kg
- GWP: 11.4 kg CO2eq/kg
laterite ores (pressure acid leaching and solvent extraction (SX)/electrowinning (EW))
- total energy: 194 MJ/kg
- GWP: 16.1 kg CO2eq/kg</v>
      </c>
      <c r="J5" s="74" t="str">
        <f>IF(ISBLANK('[1]Nickel Qualified Studies'!F4),"",'[1]Nickel Qualified Studies'!F4)</f>
        <v>Sulph: 5.144152447 kg_CO2e/kg_NiSO4_anh
Lat: 7.020583925 kg_CO2e/kg_NiSO4_anh</v>
      </c>
      <c r="K5" s="73" t="str">
        <f>IF(ISBLANK('[1]Nickel Qualified Studies'!G4),"",'[1]Nickel Qualified Studies'!G4)</f>
        <v>no</v>
      </c>
      <c r="L5" s="73" t="str">
        <f>IF(ISBLANK('[1]Nickel Qualified Studies'!H4),"",'[1]Nickel Qualified Studies'!H4)</f>
        <v>kg Ni metal</v>
      </c>
      <c r="M5" s="73" t="str">
        <f>IF(ISBLANK('[1]Nickel Qualified Studies'!I4),"",'[1]Nickel Qualified Studies'!I4)</f>
        <v>from cradle to end of refining</v>
      </c>
      <c r="N5" s="73" t="str">
        <f>IF(ISBLANK('[1]Nickel Qualified Studies'!J4),"",'[1]Nickel Qualified Studies'!J4)</f>
        <v>- intransparent</v>
      </c>
      <c r="O5" s="73" t="str">
        <f>IF(ISBLANK('[1]Nickel Qualified Studies'!K4),"",'[1]Nickel Qualified Studies'!K4)</f>
        <v>Nickel class I</v>
      </c>
      <c r="P5" s="73" t="str">
        <f>IF(ISBLANK('[1]Nickel Qualified Studies'!L4),"",'[1]Nickel Qualified Studies'!L4)</f>
        <v>backward citation</v>
      </c>
      <c r="Q5" s="73" t="str">
        <f>IF(ISBLANK('[1]Nickel Qualified Studies'!M4),"",'[1]Nickel Qualified Studies'!M4)</f>
        <v>Unclear</v>
      </c>
      <c r="R5" s="73" t="str">
        <f>IF(ISBLANK('[1]Nickel Qualified Studies'!N4),"",'[1]Nickel Qualified Studies'!N4)</f>
        <v/>
      </c>
      <c r="S5" s="77" t="b">
        <v>1</v>
      </c>
      <c r="T5" s="80"/>
      <c r="U5" s="6" t="s">
        <v>35</v>
      </c>
      <c r="V5" s="7" t="str">
        <f>IF(ISBLANK('[1]Nickel Peripheral Studies'!A4),"",'[1]Nickel Peripheral Studies'!A4)</f>
        <v>Lewrén (2019)</v>
      </c>
      <c r="W5" s="7" t="str">
        <f>IF(ISBLANK('[1]Nickel Peripheral Studies'!B4),"",'[1]Nickel Peripheral Studies'!B4)</f>
        <v>Life cycle assessment of nickel-rich lihtium-ion battery for electric vehicles. A comparative LCA between the cathode chemistries NMC 333 and NMC 622</v>
      </c>
      <c r="X5" s="7" t="str">
        <f>IF(ISBLANK('[1]Nickel Peripheral Studies'!C4),"",'[1]Nickel Peripheral Studies'!C4)</f>
        <v>https://odr.chalmers.se/items/9b12f205-4161-4b10-be1b-343234a21d3a</v>
      </c>
      <c r="Y5" s="7" t="str">
        <f>IF(ISBLANK('[1]Nickel Peripheral Studies'!D4),"",'[1]Nickel Peripheral Studies'!D4)</f>
        <v>Report</v>
      </c>
      <c r="Z5" s="7" t="str">
        <f>IF(ISBLANK('[1]Nickel Peripheral Studies'!E4),"",'[1]Nickel Peripheral Studies'!E4)</f>
        <v>4,1 kg CO2eq/kg nickel</v>
      </c>
      <c r="AA5" s="7" t="str">
        <f>IF(ISBLANK('[1]Nickel Peripheral Studies'!F4),"",'[1]Nickel Peripheral Studies'!F4)</f>
        <v>probably not</v>
      </c>
      <c r="AB5" s="7" t="str">
        <f>IF(ISBLANK('[1]Nickel Peripheral Studies'!G4),"",'[1]Nickel Peripheral Studies'!G4)</f>
        <v>of study: they compare impacts per kWh (baseline), per kg battery pack and per battery pack
for nickel (figure 5.11): kg CO2eq / kg nickel</v>
      </c>
      <c r="AC5" s="7" t="str">
        <f>IF(ISBLANK('[1]Nickel Peripheral Studies'!H4),"",'[1]Nickel Peripheral Studies'!H4)</f>
        <v>see screenshot
⇒ emissions from cradle-to-grave?? ⇒ see screenshot / Figure 5.11</v>
      </c>
      <c r="AD5" s="7" t="str">
        <f>IF(ISBLANK('[1]Nickel Peripheral Studies'!I4),"",'[1]Nickel Peripheral Studies'!I4)</f>
        <v>++ transparent</v>
      </c>
      <c r="AE5" s="7" t="str">
        <f>IF(ISBLANK('[1]Nickel Peripheral Studies'!J4),"",'[1]Nickel Peripheral Studies'!J4)</f>
        <v>Nickel sulphate</v>
      </c>
      <c r="AF5" s="7" t="str">
        <f>IF(ISBLANK('[1]Nickel Peripheral Studies'!K4),"",'[1]Nickel Peripheral Studies'!K4)</f>
        <v>Not included in final data because inventory for nickel mining to nickel refining is taken from Gediga et al (2015); inventory for nickel sulpahte based on stoichiometry and Dunn et al (2015) and GWP probably for cradle-to-grave
Master thesis</v>
      </c>
    </row>
    <row r="6" spans="1:37" ht="19.95" customHeight="1" x14ac:dyDescent="0.3">
      <c r="A6" s="2" t="s">
        <v>717</v>
      </c>
      <c r="B6" s="2">
        <v>7.0205839250000004</v>
      </c>
      <c r="C6" s="2" t="s">
        <v>66</v>
      </c>
      <c r="D6" s="1" t="str">
        <f>IF(E6="Deng &amp; Gong (2018)","","ERROR - check row order of Notion export")</f>
        <v/>
      </c>
      <c r="E6" s="73" t="str">
        <f>IF(ISBLANK('[1]Nickel Qualified Studies'!A5),"",'[1]Nickel Qualified Studies'!A5)</f>
        <v>Deng &amp; Gong (2018)</v>
      </c>
      <c r="F6" s="73" t="str">
        <f>IF(ISBLANK('[1]Nickel Qualified Studies'!B5),"",'[1]Nickel Qualified Studies'!B5)</f>
        <v>Life Cycle Assessment of Nickel Production in China</v>
      </c>
      <c r="G6" s="73" t="str">
        <f>IF(ISBLANK('[1]Nickel Qualified Studies'!C5),"",'[1]Nickel Qualified Studies'!C5)</f>
        <v>https://www.scientific.net/MSF.913.1004</v>
      </c>
      <c r="H6" s="73" t="str">
        <f>IF(ISBLANK('[1]Nickel Qualified Studies'!D5),"",'[1]Nickel Qualified Studies'!D5)</f>
        <v>Literature</v>
      </c>
      <c r="I6" s="73" t="str">
        <f>IF(ISBLANK('[1]Nickel Qualified Studies'!E5),"",'[1]Nickel Qualified Studies'!E5)</f>
        <v>26.90kg CO2 eq / kg electrolytic nickel</v>
      </c>
      <c r="J6" s="74" t="str">
        <f>IF(ISBLANK('[1]Nickel Qualified Studies'!F5),"",'[1]Nickel Qualified Studies'!F5)</f>
        <v>11.332383917 kg_CO2e/kg_NiSO4_anh</v>
      </c>
      <c r="K6" s="73" t="str">
        <f>IF(ISBLANK('[1]Nickel Qualified Studies'!G5),"",'[1]Nickel Qualified Studies'!G5)</f>
        <v>no 
data from national statstic or process data. emissions calculated based on IPCC.</v>
      </c>
      <c r="L6" s="73" t="str">
        <f>IF(ISBLANK('[1]Nickel Qualified Studies'!H5),"",'[1]Nickel Qualified Studies'!H5)</f>
        <v>1kg electrolytic nickel</v>
      </c>
      <c r="M6" s="73" t="str">
        <f>IF(ISBLANK('[1]Nickel Qualified Studies'!I5),"",'[1]Nickel Qualified Studies'!I5)</f>
        <v>see screenshot</v>
      </c>
      <c r="N6" s="73" t="str">
        <f>IF(ISBLANK('[1]Nickel Qualified Studies'!J5),"",'[1]Nickel Qualified Studies'!J5)</f>
        <v>- intransparent</v>
      </c>
      <c r="O6" s="73" t="str">
        <f>IF(ISBLANK('[1]Nickel Qualified Studies'!K5),"",'[1]Nickel Qualified Studies'!K5)</f>
        <v>Nickel class I</v>
      </c>
      <c r="P6" s="73" t="str">
        <f>IF(ISBLANK('[1]Nickel Qualified Studies'!L5),"",'[1]Nickel Qualified Studies'!L5)</f>
        <v>backward citation</v>
      </c>
      <c r="Q6" s="73" t="str">
        <f>IF(ISBLANK('[1]Nickel Qualified Studies'!M5),"",'[1]Nickel Qualified Studies'!M5)</f>
        <v>China</v>
      </c>
      <c r="R6" s="73" t="str">
        <f>IF(ISBLANK('[1]Nickel Qualified Studies'!N5),"",'[1]Nickel Qualified Studies'!N5)</f>
        <v/>
      </c>
      <c r="S6" s="77" t="b">
        <v>1</v>
      </c>
      <c r="T6" s="80"/>
      <c r="U6" s="6" t="s">
        <v>35</v>
      </c>
      <c r="V6" s="7" t="str">
        <f>IF(ISBLANK('[1]Nickel Peripheral Studies'!A5),"",'[1]Nickel Peripheral Studies'!A5)</f>
        <v>Tijsseling and Whattoff (2022)</v>
      </c>
      <c r="W6" s="7" t="str">
        <f>IF(ISBLANK('[1]Nickel Peripheral Studies'!B5),"",'[1]Nickel Peripheral Studies'!B5)</f>
        <v>Summary Report of Prospective Life Cycle Assessment Study of NCM811 p-cam Production at the Ta Khoa Refinery Project</v>
      </c>
      <c r="X6" s="7" t="str">
        <f>IF(ISBLANK('[1]Nickel Peripheral Studies'!C5),"",'[1]Nickel Peripheral Studies'!C5)</f>
        <v>https://www.google.com/url?sa=t&amp;rct=j&amp;q=&amp;esrc=s&amp;source=web&amp;cd=&amp;ved=2ahUKEwjCr83Wqe_-AhWQgv0HHWZLA5gQFnoECBkQAQ&amp;url=https%3A%2F%2Fhotcopper.com.au%2Fdocumentdownload%3Fid%3DuOMxKKzFkiWRTLKhOROKAxjvTDYL4g61zxbwv%252FVq57FiGug%253D&amp;usg=AOvVaw3ffUy2M6pejZUDTWS_6eIZ</v>
      </c>
      <c r="Y6" s="7" t="str">
        <f>IF(ISBLANK('[1]Nickel Peripheral Studies'!D5),"",'[1]Nickel Peripheral Studies'!D5)</f>
        <v>Report</v>
      </c>
      <c r="Z6" s="7" t="str">
        <f>IF(ISBLANK('[1]Nickel Peripheral Studies'!E5),"",'[1]Nickel Peripheral Studies'!E5)</f>
        <v>9.8 kg CO2eq/kg NCM811</v>
      </c>
      <c r="AA6" s="7" t="str">
        <f>IF(ISBLANK('[1]Nickel Peripheral Studies'!F5),"",'[1]Nickel Peripheral Studies'!F5)</f>
        <v>probably yes</v>
      </c>
      <c r="AB6" s="7" t="str">
        <f>IF(ISBLANK('[1]Nickel Peripheral Studies'!G5),"",'[1]Nickel Peripheral Studies'!G5)</f>
        <v>1 kg of NCM811 pCAM (produced from sulphide at the Ta Khoa Nickel project mine and Ta Khoa Refinery in Vietnam)</v>
      </c>
      <c r="AC6" s="7" t="str">
        <f>IF(ISBLANK('[1]Nickel Peripheral Studies'!H5),"",'[1]Nickel Peripheral Studies'!H5)</f>
        <v>see screenshot</v>
      </c>
      <c r="AD6" s="7" t="str">
        <f>IF(ISBLANK('[1]Nickel Peripheral Studies'!I5),"",'[1]Nickel Peripheral Studies'!I5)</f>
        <v>+ transparent, - intransparent</v>
      </c>
      <c r="AE6" s="7" t="str">
        <f>IF(ISBLANK('[1]Nickel Peripheral Studies'!J5),"",'[1]Nickel Peripheral Studies'!J5)</f>
        <v>Nickel sulphate</v>
      </c>
      <c r="AF6" s="7" t="str">
        <f>IF(ISBLANK('[1]Nickel Peripheral Studies'!K5),"",'[1]Nickel Peripheral Studies'!K5)</f>
        <v>Not included in final data because FU is 1 kg NCM811 → not easy to harmonise</v>
      </c>
    </row>
    <row r="7" spans="1:37" ht="19.95" customHeight="1" x14ac:dyDescent="0.3">
      <c r="A7" s="2" t="s">
        <v>61</v>
      </c>
      <c r="B7" s="2">
        <v>11.332383917</v>
      </c>
      <c r="C7" s="2" t="s">
        <v>66</v>
      </c>
      <c r="D7" s="1" t="str">
        <f>IF(E7="Mistry et al (2016)","","ERROR - check row order of Notion export")</f>
        <v/>
      </c>
      <c r="E7" s="73" t="str">
        <f>IF(ISBLANK('[1]Nickel Qualified Studies'!A6),"",'[1]Nickel Qualified Studies'!A6)</f>
        <v>Mistry et al (2016)</v>
      </c>
      <c r="F7" s="73" t="str">
        <f>IF(ISBLANK('[1]Nickel Qualified Studies'!B6),"",'[1]Nickel Qualified Studies'!B6)</f>
        <v>Life cycle assessment of nickel products</v>
      </c>
      <c r="G7" s="73" t="str">
        <f>IF(ISBLANK('[1]Nickel Qualified Studies'!C6),"",'[1]Nickel Qualified Studies'!C6)</f>
        <v>https://link.springer.com/article/10.1007/s11367-016-1085-x</v>
      </c>
      <c r="H7" s="73" t="str">
        <f>IF(ISBLANK('[1]Nickel Qualified Studies'!D6),"",'[1]Nickel Qualified Studies'!D6)</f>
        <v>Literature</v>
      </c>
      <c r="I7" s="73" t="str">
        <f>IF(ISBLANK('[1]Nickel Qualified Studies'!E6),"",'[1]Nickel Qualified Studies'!E6)</f>
        <v>7.64 kg CO2e/kg class 1 nickel</v>
      </c>
      <c r="J7" s="74" t="str">
        <f>IF(ISBLANK('[1]Nickel Qualified Studies'!F6),"",'[1]Nickel Qualified Studies'!F6)</f>
        <v>3.6430072646 kg_CO2e/kg_NiSO4_anh</v>
      </c>
      <c r="K7" s="73" t="str">
        <f>IF(ISBLANK('[1]Nickel Qualified Studies'!G6),"",'[1]Nickel Qualified Studies'!G6)</f>
        <v>yes</v>
      </c>
      <c r="L7" s="73" t="str">
        <f>IF(ISBLANK('[1]Nickel Qualified Studies'!H6),"",'[1]Nickel Qualified Studies'!H6)</f>
        <v>1 kg of nickel contained in nickel product at factory gate ⇒ class 1 nickel is defined as 100% nickel</v>
      </c>
      <c r="M7" s="73" t="str">
        <f>IF(ISBLANK('[1]Nickel Qualified Studies'!I6),"",'[1]Nickel Qualified Studies'!I6)</f>
        <v>see screenshot</v>
      </c>
      <c r="N7" s="73" t="str">
        <f>IF(ISBLANK('[1]Nickel Qualified Studies'!J6),"",'[1]Nickel Qualified Studies'!J6)</f>
        <v>+ transparent, ++ transparent</v>
      </c>
      <c r="O7" s="73" t="str">
        <f>IF(ISBLANK('[1]Nickel Qualified Studies'!K6),"",'[1]Nickel Qualified Studies'!K6)</f>
        <v>Nickel class I</v>
      </c>
      <c r="P7" s="73" t="str">
        <f>IF(ISBLANK('[1]Nickel Qualified Studies'!L6),"",'[1]Nickel Qualified Studies'!L6)</f>
        <v>backward citation</v>
      </c>
      <c r="Q7" s="73" t="str">
        <f>IF(ISBLANK('[1]Nickel Qualified Studies'!M6),"",'[1]Nickel Qualified Studies'!M6)</f>
        <v>Global</v>
      </c>
      <c r="R7" s="73" t="str">
        <f>IF(ISBLANK('[1]Nickel Qualified Studies'!N6),"",'[1]Nickel Qualified Studies'!N6)</f>
        <v/>
      </c>
      <c r="S7" s="77" t="b">
        <v>1</v>
      </c>
      <c r="T7" s="80"/>
      <c r="U7" s="6" t="s">
        <v>35</v>
      </c>
      <c r="V7" s="7" t="str">
        <f>IF(ISBLANK('[1]Nickel Peripheral Studies'!A6),"",'[1]Nickel Peripheral Studies'!A6)</f>
        <v>Ali et al (2023)</v>
      </c>
      <c r="W7" s="7" t="str">
        <f>IF(ISBLANK('[1]Nickel Peripheral Studies'!B6),"",'[1]Nickel Peripheral Studies'!B6)</f>
        <v>Analysis of nickel sulphate datasets used in lithium-ion batteries</v>
      </c>
      <c r="X7" s="7" t="str">
        <f>IF(ISBLANK('[1]Nickel Peripheral Studies'!C6),"",'[1]Nickel Peripheral Studies'!C6)</f>
        <v>https://www.sciencedirect.com/science/article/pii/S2212827123000689</v>
      </c>
      <c r="Y7" s="7" t="str">
        <f>IF(ISBLANK('[1]Nickel Peripheral Studies'!D6),"",'[1]Nickel Peripheral Studies'!D6)</f>
        <v>Literature</v>
      </c>
      <c r="Z7" s="7" t="str">
        <f>IF(ISBLANK('[1]Nickel Peripheral Studies'!E6),"",'[1]Nickel Peripheral Studies'!E6)</f>
        <v>see screenshot</v>
      </c>
      <c r="AA7" s="7" t="str">
        <f>IF(ISBLANK('[1]Nickel Peripheral Studies'!F6),"",'[1]Nickel Peripheral Studies'!F6)</f>
        <v>no</v>
      </c>
      <c r="AB7" s="7" t="str">
        <f>IF(ISBLANK('[1]Nickel Peripheral Studies'!G6),"",'[1]Nickel Peripheral Studies'!G6)</f>
        <v>GWP angegeben als “1kg of NiSO4 for use in NMC battery production”</v>
      </c>
      <c r="AC7" s="7" t="str">
        <f>IF(ISBLANK('[1]Nickel Peripheral Studies'!H6),"",'[1]Nickel Peripheral Studies'!H6)</f>
        <v>see screenshot</v>
      </c>
      <c r="AD7" s="7" t="str">
        <f>IF(ISBLANK('[1]Nickel Peripheral Studies'!I6),"",'[1]Nickel Peripheral Studies'!I6)</f>
        <v/>
      </c>
      <c r="AE7" s="7" t="str">
        <f>IF(ISBLANK('[1]Nickel Peripheral Studies'!J6),"",'[1]Nickel Peripheral Studies'!J6)</f>
        <v>Nickel sulphate</v>
      </c>
      <c r="AF7" s="7" t="str">
        <f>IF(ISBLANK('[1]Nickel Peripheral Studies'!K6),"",'[1]Nickel Peripheral Studies'!K6)</f>
        <v>Not included in final data because no own inventory, just look at different datasets which are often used in studies</v>
      </c>
    </row>
    <row r="8" spans="1:37" ht="19.95" customHeight="1" x14ac:dyDescent="0.3">
      <c r="A8" s="2" t="s">
        <v>46</v>
      </c>
      <c r="B8" s="2">
        <v>3.6430072646</v>
      </c>
      <c r="C8" s="2" t="s">
        <v>66</v>
      </c>
      <c r="D8" s="1" t="str">
        <f>IF(E8="Norgate and Jahanshahi (2011)","","ERROR - check row order of Notion export")</f>
        <v/>
      </c>
      <c r="E8" s="73" t="str">
        <f>IF(ISBLANK('[1]Nickel Qualified Studies'!A7),"",'[1]Nickel Qualified Studies'!A7)</f>
        <v>Norgate and Jahanshahi (2011)</v>
      </c>
      <c r="F8" s="73" t="str">
        <f>IF(ISBLANK('[1]Nickel Qualified Studies'!B7),"",'[1]Nickel Qualified Studies'!B7)</f>
        <v>Assessing the energy and greenhouse gas footprints of nickel laterite processing</v>
      </c>
      <c r="G8" s="73" t="str">
        <f>IF(ISBLANK('[1]Nickel Qualified Studies'!C7),"",'[1]Nickel Qualified Studies'!C7)</f>
        <v>https://www.sciencedirect.com/science/article/pii/S0892687510002803#t0005</v>
      </c>
      <c r="H8" s="73" t="str">
        <f>IF(ISBLANK('[1]Nickel Qualified Studies'!D7),"",'[1]Nickel Qualified Studies'!D7)</f>
        <v>Literature</v>
      </c>
      <c r="I8" s="73" t="str">
        <f>IF(ISBLANK('[1]Nickel Qualified Studies'!E7),"",'[1]Nickel Qualified Studies'!E7)</f>
        <v>HPAL: 22.7 t CO2e/ t Ni metal
(without acid plant: 27.3 t CO2e/ t Ni metal)</v>
      </c>
      <c r="J8" s="74" t="str">
        <f>IF(ISBLANK('[1]Nickel Qualified Studies'!F7),"",'[1]Nickel Qualified Studies'!F7)</f>
        <v>9.655572809 kg_CO2e/kg_NiSO4_anh</v>
      </c>
      <c r="K8" s="73" t="str">
        <f>IF(ISBLANK('[1]Nickel Qualified Studies'!G7),"",'[1]Nickel Qualified Studies'!G7)</f>
        <v>no</v>
      </c>
      <c r="L8" s="73" t="str">
        <f>IF(ISBLANK('[1]Nickel Qualified Studies'!H7),"",'[1]Nickel Qualified Studies'!H7)</f>
        <v>1 ton of nickel metal</v>
      </c>
      <c r="M8" s="73" t="str">
        <f>IF(ISBLANK('[1]Nickel Qualified Studies'!I7),"",'[1]Nickel Qualified Studies'!I7)</f>
        <v>see screenshot</v>
      </c>
      <c r="N8" s="73" t="str">
        <f>IF(ISBLANK('[1]Nickel Qualified Studies'!J7),"",'[1]Nickel Qualified Studies'!J7)</f>
        <v>-- intransparent</v>
      </c>
      <c r="O8" s="73" t="str">
        <f>IF(ISBLANK('[1]Nickel Qualified Studies'!K7),"",'[1]Nickel Qualified Studies'!K7)</f>
        <v>Nickel class I</v>
      </c>
      <c r="P8" s="73" t="str">
        <f>IF(ISBLANK('[1]Nickel Qualified Studies'!L7),"",'[1]Nickel Qualified Studies'!L7)</f>
        <v>backward citation</v>
      </c>
      <c r="Q8" s="73" t="str">
        <f>IF(ISBLANK('[1]Nickel Qualified Studies'!M7),"",'[1]Nickel Qualified Studies'!M7)</f>
        <v>Australia, Unclear</v>
      </c>
      <c r="R8" s="73" t="str">
        <f>IF(ISBLANK('[1]Nickel Qualified Studies'!N7),"",'[1]Nickel Qualified Studies'!N7)</f>
        <v/>
      </c>
      <c r="S8" s="79" t="b">
        <v>1</v>
      </c>
      <c r="T8" s="80"/>
      <c r="V8" s="7" t="str">
        <f>IF(ISBLANK('[1]Nickel Peripheral Studies'!A7),"",'[1]Nickel Peripheral Studies'!A7)</f>
        <v>Norgate &amp; Rankin (2007)</v>
      </c>
      <c r="W8" s="7" t="str">
        <f>IF(ISBLANK('[1]Nickel Peripheral Studies'!B7),"",'[1]Nickel Peripheral Studies'!B7)</f>
        <v>Assessing the environmental impact of metal production processes</v>
      </c>
      <c r="X8" s="7" t="str">
        <f>IF(ISBLANK('[1]Nickel Peripheral Studies'!C7),"",'[1]Nickel Peripheral Studies'!C7)</f>
        <v>https://www.sciencedirect.com/science/article/pii/S0959652606002320</v>
      </c>
      <c r="Y8" s="7" t="str">
        <f>IF(ISBLANK('[1]Nickel Peripheral Studies'!D7),"",'[1]Nickel Peripheral Studies'!D7)</f>
        <v>Literature</v>
      </c>
      <c r="Z8" s="7" t="str">
        <f>IF(ISBLANK('[1]Nickel Peripheral Studies'!E7),"",'[1]Nickel Peripheral Studies'!E7)</f>
        <v>flash furnace smelting and Sheritt-Gordon refining ⇒ probably sulfide ores
- total energy: 114 MJ/kg
- GWP: 11.4 kg CO2eq/kg
pressure acid leaching and solvent extraction (SX)/electrowinning (EW) ⇒ probably laterite ores
- total energy: 194 MJ/kg
- GWP: 16.1 kg CO2eq/kg</v>
      </c>
      <c r="AA8" s="7" t="str">
        <f>IF(ISBLANK('[1]Nickel Peripheral Studies'!F7),"",'[1]Nickel Peripheral Studies'!F7)</f>
        <v>no</v>
      </c>
      <c r="AB8" s="7" t="str">
        <f>IF(ISBLANK('[1]Nickel Peripheral Studies'!G7),"",'[1]Nickel Peripheral Studies'!G7)</f>
        <v>1 kg of refined metal</v>
      </c>
      <c r="AC8" s="7" t="str">
        <f>IF(ISBLANK('[1]Nickel Peripheral Studies'!H7),"",'[1]Nickel Peripheral Studies'!H7)</f>
        <v>cradle to entry gate (probabely raw material extractino to refining)
⇒ not further specified</v>
      </c>
      <c r="AD8" s="7" t="str">
        <f>IF(ISBLANK('[1]Nickel Peripheral Studies'!I7),"",'[1]Nickel Peripheral Studies'!I7)</f>
        <v>-- intransparent</v>
      </c>
      <c r="AE8" s="7" t="str">
        <f>IF(ISBLANK('[1]Nickel Peripheral Studies'!J7),"",'[1]Nickel Peripheral Studies'!J7)</f>
        <v>Nickel class I</v>
      </c>
      <c r="AF8" s="7" t="str">
        <f>IF(ISBLANK('[1]Nickel Peripheral Studies'!K7),"",'[1]Nickel Peripheral Studies'!K7)</f>
        <v xml:space="preserve">Not included in final data because paper copied the values from their previous (2000) publication. </v>
      </c>
    </row>
    <row r="9" spans="1:37" ht="47.55" customHeight="1" x14ac:dyDescent="0.3">
      <c r="A9" s="2" t="s">
        <v>47</v>
      </c>
      <c r="B9" s="2">
        <v>9.6555728090000006</v>
      </c>
      <c r="C9" s="2" t="s">
        <v>66</v>
      </c>
      <c r="D9" s="1" t="str">
        <f>IF(E9="Bai et al (2022)","","ERROR - check row order of Notion export")</f>
        <v/>
      </c>
      <c r="E9" s="73" t="str">
        <f>IF(ISBLANK('[1]Nickel Qualified Studies'!A8),"",'[1]Nickel Qualified Studies'!A8)</f>
        <v>Bai et al (2022)</v>
      </c>
      <c r="F9" s="73" t="str">
        <f>IF(ISBLANK('[1]Nickel Qualified Studies'!B8),"",'[1]Nickel Qualified Studies'!B8)</f>
        <v>Strategies for improving the environmental perfomance of nickel production in China: Insight into a life cycle assessment</v>
      </c>
      <c r="G9" s="73" t="str">
        <f>IF(ISBLANK('[1]Nickel Qualified Studies'!C8),"",'[1]Nickel Qualified Studies'!C8)</f>
        <v>https://www.sciencedirect.com/science/article/pii/S0301479722005229?via%3Dihub</v>
      </c>
      <c r="H9" s="73" t="str">
        <f>IF(ISBLANK('[1]Nickel Qualified Studies'!D8),"",'[1]Nickel Qualified Studies'!D8)</f>
        <v>Literature</v>
      </c>
      <c r="I9" s="73" t="str">
        <f>IF(ISBLANK('[1]Nickel Qualified Studies'!E8),"",'[1]Nickel Qualified Studies'!E8)</f>
        <v>GFEM: 24.30 kg CO2e/kg nickel metal (Grinding, Flotation Electrolytic Method)
LEM: 18.50 kg CO2e/kg nickel metal (Leaching, Electrowinning Method)</v>
      </c>
      <c r="J9" s="74" t="str">
        <f>IF(ISBLANK('[1]Nickel Qualified Studies'!F8),"",'[1]Nickel Qualified Studies'!F8)</f>
        <v>GFEM: 10.294357993 kg_CO2e/kg_NiSO4_anh
LEM: 7.978761701 kg_CO2e/kg_NiSO4_anh</v>
      </c>
      <c r="K9" s="73" t="str">
        <f>IF(ISBLANK('[1]Nickel Qualified Studies'!G8),"",'[1]Nickel Qualified Studies'!G8)</f>
        <v>publication based on primary data studies, but no original primary data intorduced</v>
      </c>
      <c r="L9" s="73" t="str">
        <f>IF(ISBLANK('[1]Nickel Qualified Studies'!H8),"",'[1]Nickel Qualified Studies'!H8)</f>
        <v>1 ton of electrolytic nickel production</v>
      </c>
      <c r="M9" s="73" t="str">
        <f>IF(ISBLANK('[1]Nickel Qualified Studies'!I8),"",'[1]Nickel Qualified Studies'!I8)</f>
        <v>see screenshot</v>
      </c>
      <c r="N9" s="73" t="str">
        <f>IF(ISBLANK('[1]Nickel Qualified Studies'!J8),"",'[1]Nickel Qualified Studies'!J8)</f>
        <v>++ transparent</v>
      </c>
      <c r="O9" s="73" t="str">
        <f>IF(ISBLANK('[1]Nickel Qualified Studies'!K8),"",'[1]Nickel Qualified Studies'!K8)</f>
        <v>Nickel class I</v>
      </c>
      <c r="P9" s="73" t="str">
        <f>IF(ISBLANK('[1]Nickel Qualified Studies'!L8),"",'[1]Nickel Qualified Studies'!L8)</f>
        <v>backward citation</v>
      </c>
      <c r="Q9" s="73" t="str">
        <f>IF(ISBLANK('[1]Nickel Qualified Studies'!M8),"",'[1]Nickel Qualified Studies'!M8)</f>
        <v>China</v>
      </c>
      <c r="R9" s="73" t="str">
        <f>IF(ISBLANK('[1]Nickel Qualified Studies'!N8),"",'[1]Nickel Qualified Studies'!N8)</f>
        <v/>
      </c>
      <c r="S9" s="79" t="b">
        <v>1</v>
      </c>
      <c r="T9" s="80"/>
      <c r="V9" s="7" t="str">
        <f>IF(ISBLANK('[1]Nickel Peripheral Studies'!A8),"",'[1]Nickel Peripheral Studies'!A8)</f>
        <v>Winjobi et al (2022)</v>
      </c>
      <c r="W9" s="7" t="str">
        <f>IF(ISBLANK('[1]Nickel Peripheral Studies'!B8),"",'[1]Nickel Peripheral Studies'!B8)</f>
        <v>Life-cycle analysis, by global region, of automotive lithium-ion nickel manganese cobalt batteries of varying nickel content</v>
      </c>
      <c r="X9" s="7" t="str">
        <f>IF(ISBLANK('[1]Nickel Peripheral Studies'!C8),"",'[1]Nickel Peripheral Studies'!C8)</f>
        <v>https://www.sciencedirect.com/science/article/pii/S221499372200029X?via%3Dihub</v>
      </c>
      <c r="Y9" s="7" t="str">
        <f>IF(ISBLANK('[1]Nickel Peripheral Studies'!D8),"",'[1]Nickel Peripheral Studies'!D8)</f>
        <v>Literature</v>
      </c>
      <c r="Z9" s="7" t="str">
        <f>IF(ISBLANK('[1]Nickel Peripheral Studies'!E8),"",'[1]Nickel Peripheral Studies'!E8)</f>
        <v>3.65 kg CO2eq/kg (see SI Table S13)</v>
      </c>
      <c r="AA9" s="7" t="str">
        <f>IF(ISBLANK('[1]Nickel Peripheral Studies'!F8),"",'[1]Nickel Peripheral Studies'!F8)</f>
        <v>probably no</v>
      </c>
      <c r="AB9" s="7" t="str">
        <f>IF(ISBLANK('[1]Nickel Peripheral Studies'!G8),"",'[1]Nickel Peripheral Studies'!G8)</f>
        <v>1kWh of battery capacity</v>
      </c>
      <c r="AC9" s="7" t="str">
        <f>IF(ISBLANK('[1]Nickel Peripheral Studies'!H8),"",'[1]Nickel Peripheral Studies'!H8)</f>
        <v>see screenshot</v>
      </c>
      <c r="AD9" s="7" t="str">
        <f>IF(ISBLANK('[1]Nickel Peripheral Studies'!I8),"",'[1]Nickel Peripheral Studies'!I8)</f>
        <v>- intransparent</v>
      </c>
      <c r="AE9" s="7" t="str">
        <f>IF(ISBLANK('[1]Nickel Peripheral Studies'!J8),"",'[1]Nickel Peripheral Studies'!J8)</f>
        <v>Nickel sulphate</v>
      </c>
      <c r="AF9" s="7" t="str">
        <f>IF(ISBLANK('[1]Nickel Peripheral Studies'!K8),"",'[1]Nickel Peripheral Studies'!K8)</f>
        <v xml:space="preserve">Not included in final data because paper has a modified value für NiSO4 in SI Table 13 but its based on GREET and the focus of the paper is on Li not Ni </v>
      </c>
    </row>
    <row r="10" spans="1:37" ht="19.95" customHeight="1" x14ac:dyDescent="0.3">
      <c r="A10" s="2" t="s">
        <v>713</v>
      </c>
      <c r="B10" s="2">
        <v>10.294357993</v>
      </c>
      <c r="C10" s="2" t="s">
        <v>66</v>
      </c>
      <c r="D10" s="1" t="str">
        <f>IF(E10="Bollwein (2022)","","ERROR - check row order of Notion export")</f>
        <v/>
      </c>
      <c r="E10" s="73" t="str">
        <f>IF(ISBLANK('[1]Nickel Qualified Studies'!A9),"",'[1]Nickel Qualified Studies'!A9)</f>
        <v>Bollwein (2022)</v>
      </c>
      <c r="F10" s="73" t="str">
        <f>IF(ISBLANK('[1]Nickel Qualified Studies'!B9),"",'[1]Nickel Qualified Studies'!B9)</f>
        <v>Comparative life cycle assessment of prospective battery-grade material production in Norway</v>
      </c>
      <c r="G10" s="73" t="str">
        <f>IF(ISBLANK('[1]Nickel Qualified Studies'!C9),"",'[1]Nickel Qualified Studies'!C9)</f>
        <v>https://hdl.handle.net/11250/3023809</v>
      </c>
      <c r="H10" s="73" t="str">
        <f>IF(ISBLANK('[1]Nickel Qualified Studies'!D9),"",'[1]Nickel Qualified Studies'!D9)</f>
        <v>Report</v>
      </c>
      <c r="I10" s="73" t="str">
        <f>IF(ISBLANK('[1]Nickel Qualified Studies'!E9),"",'[1]Nickel Qualified Studies'!E9)</f>
        <v xml:space="preserve">3.92 kgCO2eq. per kg nickel sulfate anhydrous </v>
      </c>
      <c r="J10" s="74" t="str">
        <f>IF(ISBLANK('[1]Nickel Qualified Studies'!F9),"",'[1]Nickel Qualified Studies'!F9)</f>
        <v>3.92 kg_CO2e/kg_NiSO4_anh</v>
      </c>
      <c r="K10" s="73" t="str">
        <f>IF(ISBLANK('[1]Nickel Qualified Studies'!G9),"",'[1]Nickel Qualified Studies'!G9)</f>
        <v>yes</v>
      </c>
      <c r="L10" s="73" t="str">
        <f>IF(ISBLANK('[1]Nickel Qualified Studies'!H9),"",'[1]Nickel Qualified Studies'!H9)</f>
        <v>1 kg Nickel sulfate anhydrous  (hypothesized)</v>
      </c>
      <c r="M10" s="73" t="str">
        <f>IF(ISBLANK('[1]Nickel Qualified Studies'!I9),"",'[1]Nickel Qualified Studies'!I9)</f>
        <v>screenshot</v>
      </c>
      <c r="N10" s="73" t="str">
        <f>IF(ISBLANK('[1]Nickel Qualified Studies'!J9),"",'[1]Nickel Qualified Studies'!J9)</f>
        <v>+ transparent</v>
      </c>
      <c r="O10" s="73" t="str">
        <f>IF(ISBLANK('[1]Nickel Qualified Studies'!K9),"",'[1]Nickel Qualified Studies'!K9)</f>
        <v>Nickel sulfate</v>
      </c>
      <c r="P10" s="73" t="str">
        <f>IF(ISBLANK('[1]Nickel Qualified Studies'!L9),"",'[1]Nickel Qualified Studies'!L9)</f>
        <v>google search</v>
      </c>
      <c r="Q10" s="73" t="str">
        <f>IF(ISBLANK('[1]Nickel Qualified Studies'!M9),"",'[1]Nickel Qualified Studies'!M9)</f>
        <v>Canada, Norway</v>
      </c>
      <c r="R10" s="73" t="str">
        <f>IF(ISBLANK('[1]Nickel Qualified Studies'!N9),"",'[1]Nickel Qualified Studies'!N9)</f>
        <v>Glencore Nikkelverk</v>
      </c>
      <c r="S10" s="79" t="b">
        <v>1</v>
      </c>
      <c r="T10" s="80"/>
      <c r="V10" s="7" t="str">
        <f>IF(ISBLANK('[1]Nickel Peripheral Studies'!A9),"",'[1]Nickel Peripheral Studies'!A9)</f>
        <v>Nickel Institute (2021)</v>
      </c>
      <c r="W10" s="7" t="str">
        <f>IF(ISBLANK('[1]Nickel Peripheral Studies'!B9),"",'[1]Nickel Peripheral Studies'!B9)</f>
        <v>Life cycle data class 1 nickel</v>
      </c>
      <c r="X10" s="7" t="str">
        <f>IF(ISBLANK('[1]Nickel Peripheral Studies'!C9),"",'[1]Nickel Peripheral Studies'!C9)</f>
        <v/>
      </c>
      <c r="Y10" s="7" t="str">
        <f>IF(ISBLANK('[1]Nickel Peripheral Studies'!D9),"",'[1]Nickel Peripheral Studies'!D9)</f>
        <v>Report</v>
      </c>
      <c r="Z10" s="7" t="str">
        <f>IF(ISBLANK('[1]Nickel Peripheral Studies'!E9),"",'[1]Nickel Peripheral Studies'!E9)</f>
        <v>13 kg CO2 eq / kg of Class 1 nickel (&gt;99.8%)</v>
      </c>
      <c r="AA10" s="7" t="str">
        <f>IF(ISBLANK('[1]Nickel Peripheral Studies'!F9),"",'[1]Nickel Peripheral Studies'!F9)</f>
        <v>yes ⇒ data from 24 production sites from nine Nickel Institute member companies https://nickelinstitute.org/policy/nickel-life-cycle-management/nickel-life-cycle-data/</v>
      </c>
      <c r="AB10" s="7" t="str">
        <f>IF(ISBLANK('[1]Nickel Peripheral Studies'!G9),"",'[1]Nickel Peripheral Studies'!G9)</f>
        <v>1 kg of Class 1 nickel (&gt;99.8%)</v>
      </c>
      <c r="AC10" s="7" t="str">
        <f>IF(ISBLANK('[1]Nickel Peripheral Studies'!H9),"",'[1]Nickel Peripheral Studies'!H9)</f>
        <v>probably from ore extraction to class 1 nickel production</v>
      </c>
      <c r="AD10" s="7" t="str">
        <f>IF(ISBLANK('[1]Nickel Peripheral Studies'!I9),"",'[1]Nickel Peripheral Studies'!I9)</f>
        <v>+ transparent</v>
      </c>
      <c r="AE10" s="7" t="str">
        <f>IF(ISBLANK('[1]Nickel Peripheral Studies'!J9),"",'[1]Nickel Peripheral Studies'!J9)</f>
        <v>Nickel class I</v>
      </c>
      <c r="AF10" s="7" t="str">
        <f>IF(ISBLANK('[1]Nickel Peripheral Studies'!K9),"",'[1]Nickel Peripheral Studies'!K9)</f>
        <v>Not included in final data because value for NiSO4 is directly reported (w/o metal pathway)</v>
      </c>
    </row>
    <row r="11" spans="1:37" ht="19.95" customHeight="1" x14ac:dyDescent="0.3">
      <c r="A11" s="2" t="s">
        <v>713</v>
      </c>
      <c r="B11" s="2">
        <v>10.294357993</v>
      </c>
      <c r="C11" s="2" t="s">
        <v>66</v>
      </c>
      <c r="D11" s="1" t="str">
        <f>IF(E11="GREET 2022 [mixed]","","ERROR - check row order of Notion export")</f>
        <v/>
      </c>
      <c r="E11" s="73" t="str">
        <f>IF(ISBLANK('[1]Nickel Qualified Studies'!A10),"",'[1]Nickel Qualified Studies'!A10)</f>
        <v>GREET 2022 [mixed]</v>
      </c>
      <c r="F11" s="73" t="str">
        <f>IF(ISBLANK('[1]Nickel Qualified Studies'!B10),"",'[1]Nickel Qualified Studies'!B10)</f>
        <v>GREET 2022 .net</v>
      </c>
      <c r="G11" s="73" t="str">
        <f>IF(ISBLANK('[1]Nickel Qualified Studies'!C10),"",'[1]Nickel Qualified Studies'!C10)</f>
        <v>https://greet.anl.gov/</v>
      </c>
      <c r="H11" s="73" t="str">
        <f>IF(ISBLANK('[1]Nickel Qualified Studies'!D10),"",'[1]Nickel Qualified Studies'!D10)</f>
        <v>Database</v>
      </c>
      <c r="I11" s="73" t="str">
        <f>IF(ISBLANK('[1]Nickel Qualified Studies'!E10),"",'[1]Nickel Qualified Studies'!E10)</f>
        <v>7,0261 kg_CO2e/kg_NiSO4 anhydrous</v>
      </c>
      <c r="J11" s="74" t="str">
        <f>IF(ISBLANK('[1]Nickel Qualified Studies'!F10),"",'[1]Nickel Qualified Studies'!F10)</f>
        <v>7,0261  kg_CO2e/kg_NiSO4_anh</v>
      </c>
      <c r="K11" s="73" t="str">
        <f>IF(ISBLANK('[1]Nickel Qualified Studies'!G10),"",'[1]Nickel Qualified Studies'!G10)</f>
        <v/>
      </c>
      <c r="L11" s="73" t="str">
        <f>IF(ISBLANK('[1]Nickel Qualified Studies'!H10),"",'[1]Nickel Qualified Studies'!H10)</f>
        <v>1 kg Nickel sulfate anhydrous</v>
      </c>
      <c r="M11" s="73" t="str">
        <f>IF(ISBLANK('[1]Nickel Qualified Studies'!I10),"",'[1]Nickel Qualified Studies'!I10)</f>
        <v/>
      </c>
      <c r="N11" s="73" t="str">
        <f>IF(ISBLANK('[1]Nickel Qualified Studies'!J10),"",'[1]Nickel Qualified Studies'!J10)</f>
        <v/>
      </c>
      <c r="O11" s="73" t="str">
        <f>IF(ISBLANK('[1]Nickel Qualified Studies'!K10),"",'[1]Nickel Qualified Studies'!K10)</f>
        <v>Nickel sulfate</v>
      </c>
      <c r="P11" s="73" t="str">
        <f>IF(ISBLANK('[1]Nickel Qualified Studies'!L10),"",'[1]Nickel Qualified Studies'!L10)</f>
        <v/>
      </c>
      <c r="Q11" s="73" t="str">
        <f>IF(ISBLANK('[1]Nickel Qualified Studies'!M10),"",'[1]Nickel Qualified Studies'!M10)</f>
        <v/>
      </c>
      <c r="R11" s="73" t="str">
        <f>IF(ISBLANK('[1]Nickel Qualified Studies'!N10),"",'[1]Nickel Qualified Studies'!N10)</f>
        <v/>
      </c>
      <c r="S11" s="79" t="b">
        <v>0</v>
      </c>
      <c r="T11" s="80" t="s">
        <v>718</v>
      </c>
      <c r="V11" s="7" t="str">
        <f>IF(ISBLANK('[1]Nickel Peripheral Studies'!A10),"",'[1]Nickel Peripheral Studies'!A10)</f>
        <v>Dai et al (2019)</v>
      </c>
      <c r="W11" s="7" t="str">
        <f>IF(ISBLANK('[1]Nickel Peripheral Studies'!B10),"",'[1]Nickel Peripheral Studies'!B10)</f>
        <v>Life Cycle Analysis of Lithium-Ion Batteries for Automotive Applications</v>
      </c>
      <c r="X11" s="7" t="str">
        <f>IF(ISBLANK('[1]Nickel Peripheral Studies'!C10),"",'[1]Nickel Peripheral Studies'!C10)</f>
        <v>https://www.mdpi.com/2313-0105/5/2/48</v>
      </c>
      <c r="Y11" s="7" t="str">
        <f>IF(ISBLANK('[1]Nickel Peripheral Studies'!D10),"",'[1]Nickel Peripheral Studies'!D10)</f>
        <v>Literature</v>
      </c>
      <c r="Z11" s="7" t="str">
        <f>IF(ISBLANK('[1]Nickel Peripheral Studies'!E10),"",'[1]Nickel Peripheral Studies'!E10)</f>
        <v>1.82 kg CO2e / kg of NMC111 powder</v>
      </c>
      <c r="AA11" s="7" t="str">
        <f>IF(ISBLANK('[1]Nickel Peripheral Studies'!F10),"",'[1]Nickel Peripheral Studies'!F10)</f>
        <v>they say that they use GREET (and that GREET was recently updated with primary data).. 
⇒ no</v>
      </c>
      <c r="AB11" s="7" t="str">
        <f>IF(ISBLANK('[1]Nickel Peripheral Studies'!G10),"",'[1]Nickel Peripheral Studies'!G10)</f>
        <v>of study: 1kWh</v>
      </c>
      <c r="AC11" s="7" t="str">
        <f>IF(ISBLANK('[1]Nickel Peripheral Studies'!H10),"",'[1]Nickel Peripheral Studies'!H10)</f>
        <v>see screenshot</v>
      </c>
      <c r="AD11" s="7" t="str">
        <f>IF(ISBLANK('[1]Nickel Peripheral Studies'!I10),"",'[1]Nickel Peripheral Studies'!I10)</f>
        <v>- intransparent</v>
      </c>
      <c r="AE11" s="7" t="str">
        <f>IF(ISBLANK('[1]Nickel Peripheral Studies'!J10),"",'[1]Nickel Peripheral Studies'!J10)</f>
        <v>Nickel sulphate</v>
      </c>
      <c r="AF11" s="7" t="str">
        <f>IF(ISBLANK('[1]Nickel Peripheral Studies'!K10),"",'[1]Nickel Peripheral Studies'!K10)</f>
        <v xml:space="preserve">Not included in final data because FU is 1 kg NCM811 → not easy to harmonise
</v>
      </c>
    </row>
    <row r="12" spans="1:37" ht="19.95" customHeight="1" x14ac:dyDescent="0.3">
      <c r="A12" s="2" t="s">
        <v>98</v>
      </c>
      <c r="B12" s="2">
        <v>7.9787617009999998</v>
      </c>
      <c r="C12" s="2" t="s">
        <v>67</v>
      </c>
      <c r="D12" s="1" t="str">
        <f>IF(E12="GREET 2022 [Lat-Lim (no metal intermediate)]","","ERROR - check row order of Notion export")</f>
        <v/>
      </c>
      <c r="E12" s="73" t="str">
        <f>IF(ISBLANK('[1]Nickel Qualified Studies'!A11),"",'[1]Nickel Qualified Studies'!A11)</f>
        <v>GREET 2022 [Lat-Lim (no metal intermediate)]</v>
      </c>
      <c r="F12" s="73" t="str">
        <f>IF(ISBLANK('[1]Nickel Qualified Studies'!B11),"",'[1]Nickel Qualified Studies'!B11)</f>
        <v>GREET 2022 .net</v>
      </c>
      <c r="G12" s="73" t="str">
        <f>IF(ISBLANK('[1]Nickel Qualified Studies'!C11),"",'[1]Nickel Qualified Studies'!C11)</f>
        <v>https://greet.anl.gov/</v>
      </c>
      <c r="H12" s="73" t="str">
        <f>IF(ISBLANK('[1]Nickel Qualified Studies'!D11),"",'[1]Nickel Qualified Studies'!D11)</f>
        <v>Database</v>
      </c>
      <c r="I12" s="73" t="str">
        <f>IF(ISBLANK('[1]Nickel Qualified Studies'!E11),"",'[1]Nickel Qualified Studies'!E11)</f>
        <v>10,3016 kg_CO2e/kg_NiSO4 anhydrous</v>
      </c>
      <c r="J12" s="74" t="str">
        <f>IF(ISBLANK('[1]Nickel Qualified Studies'!F11),"",'[1]Nickel Qualified Studies'!F11)</f>
        <v>10,3016  kg_CO2e/kg_NiSO4_anh</v>
      </c>
      <c r="K12" s="73" t="str">
        <f>IF(ISBLANK('[1]Nickel Qualified Studies'!G11),"",'[1]Nickel Qualified Studies'!G11)</f>
        <v/>
      </c>
      <c r="L12" s="73" t="str">
        <f>IF(ISBLANK('[1]Nickel Qualified Studies'!H11),"",'[1]Nickel Qualified Studies'!H11)</f>
        <v>1 kg Nickel sulfate anhydrous</v>
      </c>
      <c r="M12" s="73" t="str">
        <f>IF(ISBLANK('[1]Nickel Qualified Studies'!I11),"",'[1]Nickel Qualified Studies'!I11)</f>
        <v/>
      </c>
      <c r="N12" s="73" t="str">
        <f>IF(ISBLANK('[1]Nickel Qualified Studies'!J11),"",'[1]Nickel Qualified Studies'!J11)</f>
        <v/>
      </c>
      <c r="O12" s="73" t="str">
        <f>IF(ISBLANK('[1]Nickel Qualified Studies'!K11),"",'[1]Nickel Qualified Studies'!K11)</f>
        <v>Nickel sulfate</v>
      </c>
      <c r="P12" s="73" t="str">
        <f>IF(ISBLANK('[1]Nickel Qualified Studies'!L11),"",'[1]Nickel Qualified Studies'!L11)</f>
        <v/>
      </c>
      <c r="Q12" s="73" t="str">
        <f>IF(ISBLANK('[1]Nickel Qualified Studies'!M11),"",'[1]Nickel Qualified Studies'!M11)</f>
        <v/>
      </c>
      <c r="R12" s="73" t="str">
        <f>IF(ISBLANK('[1]Nickel Qualified Studies'!N11),"",'[1]Nickel Qualified Studies'!N11)</f>
        <v/>
      </c>
      <c r="S12" s="79" t="b">
        <v>1</v>
      </c>
      <c r="T12" s="80"/>
      <c r="V12" s="7" t="str">
        <f>IF(ISBLANK('[1]Nickel Peripheral Studies'!A11),"",'[1]Nickel Peripheral Studies'!A11)</f>
        <v>Majeau-Bettez et al (2011)</v>
      </c>
      <c r="W12" s="7" t="str">
        <f>IF(ISBLANK('[1]Nickel Peripheral Studies'!B11),"",'[1]Nickel Peripheral Studies'!B11)</f>
        <v>Life Cycle Environmental Assessment of Lithium-Ion and Nickel Metal Hydride Batteries for Plug-In Hybrid and Battery Electric Vehicles</v>
      </c>
      <c r="X12" s="7" t="str">
        <f>IF(ISBLANK('[1]Nickel Peripheral Studies'!C11),"",'[1]Nickel Peripheral Studies'!C11)</f>
        <v>https://pubs.acs.org/doi/10.1021/es103607c</v>
      </c>
      <c r="Y12" s="7" t="str">
        <f>IF(ISBLANK('[1]Nickel Peripheral Studies'!D11),"",'[1]Nickel Peripheral Studies'!D11)</f>
        <v>Literature</v>
      </c>
      <c r="Z12" s="7" t="str">
        <f>IF(ISBLANK('[1]Nickel Peripheral Studies'!E11),"",'[1]Nickel Peripheral Studies'!E11)</f>
        <v>-</v>
      </c>
      <c r="AA12" s="7" t="str">
        <f>IF(ISBLANK('[1]Nickel Peripheral Studies'!F11),"",'[1]Nickel Peripheral Studies'!F11)</f>
        <v>probably no</v>
      </c>
      <c r="AB12" s="7" t="str">
        <f>IF(ISBLANK('[1]Nickel Peripheral Studies'!G11),"",'[1]Nickel Peripheral Studies'!G11)</f>
        <v>of study: battery mass (kg) and nominal energy capacity (Wh, at 1 C-rate); “our main functional unit would roughly correspond to driving 100 km with  the PHEV efficiency set as target by the Electric Power Research 
Institute, (4) 0.53 MJ·km^–1”
of NiSO4 inventory: 1 kg of NiSO4</v>
      </c>
      <c r="AC12" s="7" t="str">
        <f>IF(ISBLANK('[1]Nickel Peripheral Studies'!H11),"",'[1]Nickel Peripheral Studies'!H11)</f>
        <v xml:space="preserve">see screenshot </v>
      </c>
      <c r="AD12" s="7" t="str">
        <f>IF(ISBLANK('[1]Nickel Peripheral Studies'!I11),"",'[1]Nickel Peripheral Studies'!I11)</f>
        <v>+ transparent</v>
      </c>
      <c r="AE12" s="7" t="str">
        <f>IF(ISBLANK('[1]Nickel Peripheral Studies'!J11),"",'[1]Nickel Peripheral Studies'!J11)</f>
        <v>Nickel sulphate</v>
      </c>
      <c r="AF12" s="7" t="str">
        <f>IF(ISBLANK('[1]Nickel Peripheral Studies'!K11),"",'[1]Nickel Peripheral Studies'!K11)</f>
        <v>Not included in final data because no impact provided for NiSO4
no aboslute values given ⇒ but inventories for NiSO4 
⇒ ATTENTION: production pathway does not require nickel class I</v>
      </c>
    </row>
    <row r="13" spans="1:37" ht="19.95" customHeight="1" x14ac:dyDescent="0.3">
      <c r="A13" s="2" t="s">
        <v>714</v>
      </c>
      <c r="B13" s="2">
        <v>10.301600000000001</v>
      </c>
      <c r="C13" s="2" t="s">
        <v>69</v>
      </c>
      <c r="D13" s="1" t="str">
        <f>IF(E13="GREET 2022 [Sulph]","","ERROR - check row order of Notion export")</f>
        <v/>
      </c>
      <c r="E13" s="73" t="str">
        <f>IF(ISBLANK('[1]Nickel Qualified Studies'!A12),"",'[1]Nickel Qualified Studies'!A12)</f>
        <v>GREET 2022 [Sulph]</v>
      </c>
      <c r="F13" s="73" t="str">
        <f>IF(ISBLANK('[1]Nickel Qualified Studies'!B12),"",'[1]Nickel Qualified Studies'!B12)</f>
        <v>GREET 2022 .net</v>
      </c>
      <c r="G13" s="73" t="str">
        <f>IF(ISBLANK('[1]Nickel Qualified Studies'!C12),"",'[1]Nickel Qualified Studies'!C12)</f>
        <v>https://greet.anl.gov/</v>
      </c>
      <c r="H13" s="73" t="str">
        <f>IF(ISBLANK('[1]Nickel Qualified Studies'!D12),"",'[1]Nickel Qualified Studies'!D12)</f>
        <v>Database</v>
      </c>
      <c r="I13" s="73" t="str">
        <f>IF(ISBLANK('[1]Nickel Qualified Studies'!E12),"",'[1]Nickel Qualified Studies'!E12)</f>
        <v>3,4697 kg_CO2e/kg_NiSO4 anhydrous</v>
      </c>
      <c r="J13" s="74" t="str">
        <f>IF(ISBLANK('[1]Nickel Qualified Studies'!F12),"",'[1]Nickel Qualified Studies'!F12)</f>
        <v>3,4697  kg_CO2e/kg_NiSO4_anh</v>
      </c>
      <c r="K13" s="73" t="str">
        <f>IF(ISBLANK('[1]Nickel Qualified Studies'!G12),"",'[1]Nickel Qualified Studies'!G12)</f>
        <v/>
      </c>
      <c r="L13" s="73" t="str">
        <f>IF(ISBLANK('[1]Nickel Qualified Studies'!H12),"",'[1]Nickel Qualified Studies'!H12)</f>
        <v>1 kg Nickel sulfate anhydrous</v>
      </c>
      <c r="M13" s="73" t="str">
        <f>IF(ISBLANK('[1]Nickel Qualified Studies'!I12),"",'[1]Nickel Qualified Studies'!I12)</f>
        <v/>
      </c>
      <c r="N13" s="73" t="str">
        <f>IF(ISBLANK('[1]Nickel Qualified Studies'!J12),"",'[1]Nickel Qualified Studies'!J12)</f>
        <v/>
      </c>
      <c r="O13" s="73" t="str">
        <f>IF(ISBLANK('[1]Nickel Qualified Studies'!K12),"",'[1]Nickel Qualified Studies'!K12)</f>
        <v>Nickel sulfate</v>
      </c>
      <c r="P13" s="73" t="str">
        <f>IF(ISBLANK('[1]Nickel Qualified Studies'!L12),"",'[1]Nickel Qualified Studies'!L12)</f>
        <v/>
      </c>
      <c r="Q13" s="73" t="str">
        <f>IF(ISBLANK('[1]Nickel Qualified Studies'!M12),"",'[1]Nickel Qualified Studies'!M12)</f>
        <v/>
      </c>
      <c r="R13" s="73" t="str">
        <f>IF(ISBLANK('[1]Nickel Qualified Studies'!N12),"",'[1]Nickel Qualified Studies'!N12)</f>
        <v/>
      </c>
      <c r="S13" s="79" t="b">
        <v>1</v>
      </c>
      <c r="T13" s="80"/>
      <c r="V13" s="7" t="str">
        <f>IF(ISBLANK('[1]Nickel Peripheral Studies'!A12),"",'[1]Nickel Peripheral Studies'!A12)</f>
        <v>Van der Voet et al. (2018)</v>
      </c>
      <c r="W13" s="7" t="str">
        <f>IF(ISBLANK('[1]Nickel Peripheral Studies'!B12),"",'[1]Nickel Peripheral Studies'!B12)</f>
        <v>Environmental Implications of Future Demand Scenarios for Metals: Methodology and Application to the Case of Seven Major Metals</v>
      </c>
      <c r="X13" s="7" t="str">
        <f>IF(ISBLANK('[1]Nickel Peripheral Studies'!C12),"",'[1]Nickel Peripheral Studies'!C12)</f>
        <v>https://doi.org/10.1111/jiec.12722</v>
      </c>
      <c r="Y13" s="7" t="str">
        <f>IF(ISBLANK('[1]Nickel Peripheral Studies'!D12),"",'[1]Nickel Peripheral Studies'!D12)</f>
        <v>Literature</v>
      </c>
      <c r="Z13" s="7" t="str">
        <f>IF(ISBLANK('[1]Nickel Peripheral Studies'!E12),"",'[1]Nickel Peripheral Studies'!E12)</f>
        <v>22 kg CO2 eq / kg of refined Nickel</v>
      </c>
      <c r="AA13" s="7" t="str">
        <f>IF(ISBLANK('[1]Nickel Peripheral Studies'!F12),"",'[1]Nickel Peripheral Studies'!F12)</f>
        <v>probably → see foreground in comments</v>
      </c>
      <c r="AB13" s="7" t="str">
        <f>IF(ISBLANK('[1]Nickel Peripheral Studies'!G12),"",'[1]Nickel Peripheral Studies'!G12)</f>
        <v>kg CO2 eq / kg of refined metal</v>
      </c>
      <c r="AC13" s="7" t="str">
        <f>IF(ISBLANK('[1]Nickel Peripheral Studies'!H12),"",'[1]Nickel Peripheral Studies'!H12)</f>
        <v>cradle-to-gate</v>
      </c>
      <c r="AD13" s="7" t="str">
        <f>IF(ISBLANK('[1]Nickel Peripheral Studies'!I12),"",'[1]Nickel Peripheral Studies'!I12)</f>
        <v>- intransparent</v>
      </c>
      <c r="AE13" s="7" t="str">
        <f>IF(ISBLANK('[1]Nickel Peripheral Studies'!J12),"",'[1]Nickel Peripheral Studies'!J12)</f>
        <v>Nickel</v>
      </c>
      <c r="AF13" s="7" t="str">
        <f>IF(ISBLANK('[1]Nickel Peripheral Studies'!K12),"",'[1]Nickel Peripheral Studies'!K12)</f>
        <v xml:space="preserve">Not included in final data because no own inventory.  “[…] more specific process data […] have been collected for several of the metals (Verboon https://onlinelibrary.wiley.com/doi/10.1111/jiec.12722#jiec12722-bib-0053; Kuipers https://onlinelibrary.wiley.com/doi/10.1111/jiec.12722#jiec12722-bib-0020).” and they cite two master thesis I can’t find. </v>
      </c>
    </row>
    <row r="14" spans="1:37" ht="28.05" customHeight="1" x14ac:dyDescent="0.3">
      <c r="A14" s="2" t="s">
        <v>73</v>
      </c>
      <c r="B14" s="2">
        <v>3.4697</v>
      </c>
      <c r="C14" s="2" t="s">
        <v>69</v>
      </c>
      <c r="D14" s="1" t="str">
        <f>IF(E14="GREET 2022 [Lat-Lim]","","ERROR - check row order of Notion export")</f>
        <v/>
      </c>
      <c r="E14" s="73" t="str">
        <f>IF(ISBLANK('[1]Nickel Qualified Studies'!A13),"",'[1]Nickel Qualified Studies'!A13)</f>
        <v>GREET 2022 [Lat-Lim]</v>
      </c>
      <c r="F14" s="73" t="str">
        <f>IF(ISBLANK('[1]Nickel Qualified Studies'!B13),"",'[1]Nickel Qualified Studies'!B13)</f>
        <v>GREET 2022 .net</v>
      </c>
      <c r="G14" s="73" t="str">
        <f>IF(ISBLANK('[1]Nickel Qualified Studies'!C13),"",'[1]Nickel Qualified Studies'!C13)</f>
        <v>https://greet.anl.gov/</v>
      </c>
      <c r="H14" s="73" t="str">
        <f>IF(ISBLANK('[1]Nickel Qualified Studies'!D13),"",'[1]Nickel Qualified Studies'!D13)</f>
        <v>Database</v>
      </c>
      <c r="I14" s="73" t="str">
        <f>IF(ISBLANK('[1]Nickel Qualified Studies'!E13),"",'[1]Nickel Qualified Studies'!E13)</f>
        <v>15,2099 kg_CO2e/kg_NiSO4 anhydrous</v>
      </c>
      <c r="J14" s="74" t="str">
        <f>IF(ISBLANK('[1]Nickel Qualified Studies'!F13),"",'[1]Nickel Qualified Studies'!F13)</f>
        <v>15,2099  kg_CO2e/kg_NiSO4_anh</v>
      </c>
      <c r="K14" s="73" t="str">
        <f>IF(ISBLANK('[1]Nickel Qualified Studies'!G13),"",'[1]Nickel Qualified Studies'!G13)</f>
        <v/>
      </c>
      <c r="L14" s="73" t="str">
        <f>IF(ISBLANK('[1]Nickel Qualified Studies'!H13),"",'[1]Nickel Qualified Studies'!H13)</f>
        <v>1 kg Nickel sulfate anhydrous</v>
      </c>
      <c r="M14" s="73" t="str">
        <f>IF(ISBLANK('[1]Nickel Qualified Studies'!I13),"",'[1]Nickel Qualified Studies'!I13)</f>
        <v/>
      </c>
      <c r="N14" s="73" t="str">
        <f>IF(ISBLANK('[1]Nickel Qualified Studies'!J13),"",'[1]Nickel Qualified Studies'!J13)</f>
        <v/>
      </c>
      <c r="O14" s="73" t="str">
        <f>IF(ISBLANK('[1]Nickel Qualified Studies'!K13),"",'[1]Nickel Qualified Studies'!K13)</f>
        <v>Nickel sulfate</v>
      </c>
      <c r="P14" s="73" t="str">
        <f>IF(ISBLANK('[1]Nickel Qualified Studies'!L13),"",'[1]Nickel Qualified Studies'!L13)</f>
        <v/>
      </c>
      <c r="Q14" s="73" t="str">
        <f>IF(ISBLANK('[1]Nickel Qualified Studies'!M13),"",'[1]Nickel Qualified Studies'!M13)</f>
        <v/>
      </c>
      <c r="R14" s="73" t="str">
        <f>IF(ISBLANK('[1]Nickel Qualified Studies'!N13),"",'[1]Nickel Qualified Studies'!N13)</f>
        <v/>
      </c>
      <c r="S14" s="79" t="b">
        <v>1</v>
      </c>
      <c r="T14" s="80"/>
      <c r="V14" s="7" t="str">
        <f>IF(ISBLANK('[1]Nickel Peripheral Studies'!A13),"",'[1]Nickel Peripheral Studies'!A13)</f>
        <v>Kahn (2021)</v>
      </c>
      <c r="W14" s="7" t="str">
        <f>IF(ISBLANK('[1]Nickel Peripheral Studies'!B13),"",'[1]Nickel Peripheral Studies'!B13)</f>
        <v>Parametric Life Cycle Modelling of Nickel Sulphate</v>
      </c>
      <c r="X14" s="7" t="str">
        <f>IF(ISBLANK('[1]Nickel Peripheral Studies'!C13),"",'[1]Nickel Peripheral Studies'!C13)</f>
        <v>https://hdl.handle.net/11250/2824787</v>
      </c>
      <c r="Y14" s="7" t="str">
        <f>IF(ISBLANK('[1]Nickel Peripheral Studies'!D13),"",'[1]Nickel Peripheral Studies'!D13)</f>
        <v>Report</v>
      </c>
      <c r="Z14" s="7" t="str">
        <f>IF(ISBLANK('[1]Nickel Peripheral Studies'!E13),"",'[1]Nickel Peripheral Studies'!E13)</f>
        <v>6.8 kg CO2-eq per kg NiSO4</v>
      </c>
      <c r="AA14" s="7" t="str">
        <f>IF(ISBLANK('[1]Nickel Peripheral Studies'!F13),"",'[1]Nickel Peripheral Studies'!F13)</f>
        <v>No</v>
      </c>
      <c r="AB14" s="7" t="str">
        <f>IF(ISBLANK('[1]Nickel Peripheral Studies'!G13),"",'[1]Nickel Peripheral Studies'!G13)</f>
        <v>1 kg nickel sulphate</v>
      </c>
      <c r="AC14" s="7" t="str">
        <f>IF(ISBLANK('[1]Nickel Peripheral Studies'!H13),"",'[1]Nickel Peripheral Studies'!H13)</f>
        <v>cradle to gate → screenshot</v>
      </c>
      <c r="AD14" s="7" t="str">
        <f>IF(ISBLANK('[1]Nickel Peripheral Studies'!I13),"",'[1]Nickel Peripheral Studies'!I13)</f>
        <v>++ transparent</v>
      </c>
      <c r="AE14" s="7" t="str">
        <f>IF(ISBLANK('[1]Nickel Peripheral Studies'!J13),"",'[1]Nickel Peripheral Studies'!J13)</f>
        <v>Nickel sulphate</v>
      </c>
      <c r="AF14" s="7" t="str">
        <f>IF(ISBLANK('[1]Nickel Peripheral Studies'!K13),"",'[1]Nickel Peripheral Studies'!K13)</f>
        <v>Not included in final data because scenarios are very aggregated.
Master thesis</v>
      </c>
    </row>
    <row r="15" spans="1:37" ht="28.05" customHeight="1" x14ac:dyDescent="0.3">
      <c r="A15" s="2" t="s">
        <v>715</v>
      </c>
      <c r="B15" s="2">
        <v>15.209899999999999</v>
      </c>
      <c r="C15" s="2" t="s">
        <v>69</v>
      </c>
      <c r="D15" s="1" t="str">
        <f>IF(E15="EI 3.9.1","","ERROR - check row order of Notion export")</f>
        <v/>
      </c>
      <c r="E15" s="73" t="str">
        <f>IF(ISBLANK('[1]Nickel Qualified Studies'!A14),"",'[1]Nickel Qualified Studies'!A14)</f>
        <v>EI 3.9.1</v>
      </c>
      <c r="F15" s="73" t="str">
        <f>IF(ISBLANK('[1]Nickel Qualified Studies'!B14),"",'[1]Nickel Qualified Studies'!B14)</f>
        <v>nickel sulfate production</v>
      </c>
      <c r="G15" s="73" t="str">
        <f>IF(ISBLANK('[1]Nickel Qualified Studies'!C14),"",'[1]Nickel Qualified Studies'!C14)</f>
        <v>https://ecoquery.ecoinvent.org/3.9.1/cutoff/dataset/113/documentation</v>
      </c>
      <c r="H15" s="73" t="str">
        <f>IF(ISBLANK('[1]Nickel Qualified Studies'!D14),"",'[1]Nickel Qualified Studies'!D14)</f>
        <v>Database</v>
      </c>
      <c r="I15" s="73" t="str">
        <f>IF(ISBLANK('[1]Nickel Qualified Studies'!E14),"",'[1]Nickel Qualified Studies'!E14)</f>
        <v>7,5907 kg_CO2e/kg_NiSO4</v>
      </c>
      <c r="J15" s="74" t="str">
        <f>IF(ISBLANK('[1]Nickel Qualified Studies'!F14),"",'[1]Nickel Qualified Studies'!F14)</f>
        <v>7,5907  kg_CO2e/kg_NiSO4_anh</v>
      </c>
      <c r="K15" s="73" t="str">
        <f>IF(ISBLANK('[1]Nickel Qualified Studies'!G14),"",'[1]Nickel Qualified Studies'!G14)</f>
        <v/>
      </c>
      <c r="L15" s="73" t="str">
        <f>IF(ISBLANK('[1]Nickel Qualified Studies'!H14),"",'[1]Nickel Qualified Studies'!H14)</f>
        <v>1 kg Nickel sulfate anhydrous</v>
      </c>
      <c r="M15" s="73" t="str">
        <f>IF(ISBLANK('[1]Nickel Qualified Studies'!I14),"",'[1]Nickel Qualified Studies'!I14)</f>
        <v/>
      </c>
      <c r="N15" s="73" t="str">
        <f>IF(ISBLANK('[1]Nickel Qualified Studies'!J14),"",'[1]Nickel Qualified Studies'!J14)</f>
        <v/>
      </c>
      <c r="O15" s="73" t="str">
        <f>IF(ISBLANK('[1]Nickel Qualified Studies'!K14),"",'[1]Nickel Qualified Studies'!K14)</f>
        <v>Nickel sulfate</v>
      </c>
      <c r="P15" s="73" t="str">
        <f>IF(ISBLANK('[1]Nickel Qualified Studies'!L14),"",'[1]Nickel Qualified Studies'!L14)</f>
        <v/>
      </c>
      <c r="Q15" s="73" t="str">
        <f>IF(ISBLANK('[1]Nickel Qualified Studies'!M14),"",'[1]Nickel Qualified Studies'!M14)</f>
        <v>Global</v>
      </c>
      <c r="R15" s="73" t="str">
        <f>IF(ISBLANK('[1]Nickel Qualified Studies'!N14),"",'[1]Nickel Qualified Studies'!N14)</f>
        <v>Gendorf</v>
      </c>
      <c r="S15" s="79" t="b">
        <v>0</v>
      </c>
      <c r="T15" s="80" t="s">
        <v>718</v>
      </c>
      <c r="V15" s="7" t="str">
        <f>IF(ISBLANK('[1]Nickel Peripheral Studies'!A14),"",'[1]Nickel Peripheral Studies'!A14)</f>
        <v>Paulikas et al. (2020)</v>
      </c>
      <c r="W15" s="7" t="str">
        <f>IF(ISBLANK('[1]Nickel Peripheral Studies'!B14),"",'[1]Nickel Peripheral Studies'!B14)</f>
        <v>Life cycle climate change impacts of producing battery metals from land ores versus deep-sea polymetallic nodules</v>
      </c>
      <c r="X15" s="7" t="str">
        <f>IF(ISBLANK('[1]Nickel Peripheral Studies'!C14),"",'[1]Nickel Peripheral Studies'!C14)</f>
        <v>https://doi.org/10.1016/j.jclepro.2020.123822</v>
      </c>
      <c r="Y15" s="7" t="str">
        <f>IF(ISBLANK('[1]Nickel Peripheral Studies'!D14),"",'[1]Nickel Peripheral Studies'!D14)</f>
        <v>Literature</v>
      </c>
      <c r="Z15" s="7" t="str">
        <f>IF(ISBLANK('[1]Nickel Peripheral Studies'!E14),"",'[1]Nickel Peripheral Studies'!E14)</f>
        <v>19.6 kg CO2e per kg nickel sulfate</v>
      </c>
      <c r="AA15" s="7" t="str">
        <f>IF(ISBLANK('[1]Nickel Peripheral Studies'!F14),"",'[1]Nickel Peripheral Studies'!F14)</f>
        <v>No</v>
      </c>
      <c r="AB15" s="7" t="str">
        <f>IF(ISBLANK('[1]Nickel Peripheral Studies'!G14),"",'[1]Nickel Peripheral Studies'!G14)</f>
        <v>kg Nickel sulfate</v>
      </c>
      <c r="AC15" s="7" t="str">
        <f>IF(ISBLANK('[1]Nickel Peripheral Studies'!H14),"",'[1]Nickel Peripheral Studies'!H14)</f>
        <v>cradle to gate</v>
      </c>
      <c r="AD15" s="7" t="str">
        <f>IF(ISBLANK('[1]Nickel Peripheral Studies'!I14),"",'[1]Nickel Peripheral Studies'!I14)</f>
        <v>+ transparent</v>
      </c>
      <c r="AE15" s="7" t="str">
        <f>IF(ISBLANK('[1]Nickel Peripheral Studies'!J14),"",'[1]Nickel Peripheral Studies'!J14)</f>
        <v>Nickel sulphate</v>
      </c>
      <c r="AF15" s="7" t="str">
        <f>IF(ISBLANK('[1]Nickel Peripheral Studies'!K14),"",'[1]Nickel Peripheral Studies'!K14)</f>
        <v>Not included in final data because they compare impacts of land mining and deep sea nodules in the period 2017 to 2047 and take data from other studies → future scenario and no own inventory</v>
      </c>
    </row>
    <row r="16" spans="1:37" x14ac:dyDescent="0.3">
      <c r="A16" s="2" t="s">
        <v>70</v>
      </c>
      <c r="B16" s="2">
        <v>14.137050114999999</v>
      </c>
      <c r="C16" s="2" t="s">
        <v>69</v>
      </c>
      <c r="D16" s="1" t="str">
        <f>IF(E16="EI 3.9.1 [Sulph, CN]","","ERROR - check row order of Notion export")</f>
        <v/>
      </c>
      <c r="E16" s="73" t="str">
        <f>IF(ISBLANK('[1]Nickel Qualified Studies'!A15),"",'[1]Nickel Qualified Studies'!A15)</f>
        <v>EI 3.9.1 [Sulph, CN]</v>
      </c>
      <c r="F16" s="73" t="str">
        <f>IF(ISBLANK('[1]Nickel Qualified Studies'!B15),"",'[1]Nickel Qualified Studies'!B15)</f>
        <v>nickel, class 1 smelting and refining of nickel concentrate, 7% Ni</v>
      </c>
      <c r="G16" s="73" t="str">
        <f>IF(ISBLANK('[1]Nickel Qualified Studies'!C15),"",'[1]Nickel Qualified Studies'!C15)</f>
        <v>https://ecoquery.ecoinvent.org/3.9.1/cutoff/dataset/23679/documentation</v>
      </c>
      <c r="H16" s="73" t="str">
        <f>IF(ISBLANK('[1]Nickel Qualified Studies'!D15),"",'[1]Nickel Qualified Studies'!D15)</f>
        <v>Database</v>
      </c>
      <c r="I16" s="73" t="str">
        <f>IF(ISBLANK('[1]Nickel Qualified Studies'!E15),"",'[1]Nickel Qualified Studies'!E15)</f>
        <v>33,925 kg_CO2e/kg_Ni_metal</v>
      </c>
      <c r="J16" s="74" t="str">
        <f>IF(ISBLANK('[1]Nickel Qualified Studies'!F15),"",'[1]Nickel Qualified Studies'!F15)</f>
        <v>14.1370501155 kg_CO2e/kg_NiSO4_anh</v>
      </c>
      <c r="K16" s="73" t="str">
        <f>IF(ISBLANK('[1]Nickel Qualified Studies'!G15),"",'[1]Nickel Qualified Studies'!G15)</f>
        <v/>
      </c>
      <c r="L16" s="73" t="str">
        <f>IF(ISBLANK('[1]Nickel Qualified Studies'!H15),"",'[1]Nickel Qualified Studies'!H15)</f>
        <v>1 kg Nickel metal</v>
      </c>
      <c r="M16" s="73" t="str">
        <f>IF(ISBLANK('[1]Nickel Qualified Studies'!I15),"",'[1]Nickel Qualified Studies'!I15)</f>
        <v/>
      </c>
      <c r="N16" s="73" t="str">
        <f>IF(ISBLANK('[1]Nickel Qualified Studies'!J15),"",'[1]Nickel Qualified Studies'!J15)</f>
        <v/>
      </c>
      <c r="O16" s="73" t="str">
        <f>IF(ISBLANK('[1]Nickel Qualified Studies'!K15),"",'[1]Nickel Qualified Studies'!K15)</f>
        <v>Nickel class I</v>
      </c>
      <c r="P16" s="73" t="str">
        <f>IF(ISBLANK('[1]Nickel Qualified Studies'!L15),"",'[1]Nickel Qualified Studies'!L15)</f>
        <v/>
      </c>
      <c r="Q16" s="73" t="str">
        <f>IF(ISBLANK('[1]Nickel Qualified Studies'!M15),"",'[1]Nickel Qualified Studies'!M15)</f>
        <v>China</v>
      </c>
      <c r="R16" s="73" t="str">
        <f>IF(ISBLANK('[1]Nickel Qualified Studies'!N15),"",'[1]Nickel Qualified Studies'!N15)</f>
        <v/>
      </c>
      <c r="S16" s="79" t="b">
        <v>1</v>
      </c>
      <c r="T16" s="80"/>
      <c r="V16" s="7" t="str">
        <f>IF(ISBLANK('[1]Nickel Peripheral Studies'!A15),"",'[1]Nickel Peripheral Studies'!A15)</f>
        <v/>
      </c>
      <c r="W16" s="7" t="str">
        <f>IF(ISBLANK('[1]Nickel Peripheral Studies'!B15),"",'[1]Nickel Peripheral Studies'!B15)</f>
        <v/>
      </c>
      <c r="X16" s="7" t="str">
        <f>IF(ISBLANK('[1]Nickel Peripheral Studies'!C15),"",'[1]Nickel Peripheral Studies'!C15)</f>
        <v/>
      </c>
      <c r="Y16" s="7" t="str">
        <f>IF(ISBLANK('[1]Nickel Peripheral Studies'!D15),"",'[1]Nickel Peripheral Studies'!D15)</f>
        <v/>
      </c>
      <c r="Z16" s="7" t="str">
        <f>IF(ISBLANK('[1]Nickel Peripheral Studies'!E15),"",'[1]Nickel Peripheral Studies'!E15)</f>
        <v/>
      </c>
      <c r="AA16" s="7" t="str">
        <f>IF(ISBLANK('[1]Nickel Peripheral Studies'!F15),"",'[1]Nickel Peripheral Studies'!F15)</f>
        <v/>
      </c>
      <c r="AB16" s="7" t="str">
        <f>IF(ISBLANK('[1]Nickel Peripheral Studies'!G15),"",'[1]Nickel Peripheral Studies'!G15)</f>
        <v/>
      </c>
      <c r="AC16" s="7" t="str">
        <f>IF(ISBLANK('[1]Nickel Peripheral Studies'!H15),"",'[1]Nickel Peripheral Studies'!H15)</f>
        <v/>
      </c>
      <c r="AD16" s="7" t="str">
        <f>IF(ISBLANK('[1]Nickel Peripheral Studies'!I15),"",'[1]Nickel Peripheral Studies'!I15)</f>
        <v/>
      </c>
      <c r="AE16" s="7" t="str">
        <f>IF(ISBLANK('[1]Nickel Peripheral Studies'!J15),"",'[1]Nickel Peripheral Studies'!J15)</f>
        <v/>
      </c>
      <c r="AF16" s="7" t="str">
        <f>IF(ISBLANK('[1]Nickel Peripheral Studies'!K15),"",'[1]Nickel Peripheral Studies'!K15)</f>
        <v/>
      </c>
    </row>
    <row r="17" spans="1:32" x14ac:dyDescent="0.3">
      <c r="A17" s="2" t="s">
        <v>68</v>
      </c>
      <c r="B17" s="2">
        <v>8.1041232933600007</v>
      </c>
      <c r="C17" s="2" t="s">
        <v>69</v>
      </c>
      <c r="D17" s="1" t="str">
        <f>IF(E17="EI 3.9.1 [from cobalt production, GLO]","","ERROR - check row order of Notion export")</f>
        <v/>
      </c>
      <c r="E17" s="73" t="str">
        <f>IF(ISBLANK('[1]Nickel Qualified Studies'!A16),"",'[1]Nickel Qualified Studies'!A16)</f>
        <v>EI 3.9.1 [from cobalt production, GLO]</v>
      </c>
      <c r="F17" s="73" t="str">
        <f>IF(ISBLANK('[1]Nickel Qualified Studies'!B16),"",'[1]Nickel Qualified Studies'!B16)</f>
        <v>nickel, class 1 cobalt production</v>
      </c>
      <c r="G17" s="73" t="str">
        <f>IF(ISBLANK('[1]Nickel Qualified Studies'!C16),"",'[1]Nickel Qualified Studies'!C16)</f>
        <v>https://ecoquery.ecoinvent.org/3.9.1/cutoff/dataset/23006/impact_assessment</v>
      </c>
      <c r="H17" s="73" t="str">
        <f>IF(ISBLANK('[1]Nickel Qualified Studies'!D16),"",'[1]Nickel Qualified Studies'!D16)</f>
        <v>Database</v>
      </c>
      <c r="I17" s="73" t="str">
        <f>IF(ISBLANK('[1]Nickel Qualified Studies'!E16),"",'[1]Nickel Qualified Studies'!E16)</f>
        <v>18,814 kg_CO2e/kg_Ni_metal</v>
      </c>
      <c r="J17" s="74" t="str">
        <f>IF(ISBLANK('[1]Nickel Qualified Studies'!F16),"",'[1]Nickel Qualified Studies'!F16)</f>
        <v>8.10412329336 kg_CO2e/kg_NiSO4_anh</v>
      </c>
      <c r="K17" s="73" t="str">
        <f>IF(ISBLANK('[1]Nickel Qualified Studies'!G16),"",'[1]Nickel Qualified Studies'!G16)</f>
        <v/>
      </c>
      <c r="L17" s="73" t="str">
        <f>IF(ISBLANK('[1]Nickel Qualified Studies'!H16),"",'[1]Nickel Qualified Studies'!H16)</f>
        <v>1 kg Nickel metal</v>
      </c>
      <c r="M17" s="73" t="str">
        <f>IF(ISBLANK('[1]Nickel Qualified Studies'!I16),"",'[1]Nickel Qualified Studies'!I16)</f>
        <v/>
      </c>
      <c r="N17" s="73" t="str">
        <f>IF(ISBLANK('[1]Nickel Qualified Studies'!J16),"",'[1]Nickel Qualified Studies'!J16)</f>
        <v/>
      </c>
      <c r="O17" s="73" t="str">
        <f>IF(ISBLANK('[1]Nickel Qualified Studies'!K16),"",'[1]Nickel Qualified Studies'!K16)</f>
        <v>Nickel class I</v>
      </c>
      <c r="P17" s="73" t="str">
        <f>IF(ISBLANK('[1]Nickel Qualified Studies'!L16),"",'[1]Nickel Qualified Studies'!L16)</f>
        <v/>
      </c>
      <c r="Q17" s="73" t="str">
        <f>IF(ISBLANK('[1]Nickel Qualified Studies'!M16),"",'[1]Nickel Qualified Studies'!M16)</f>
        <v>Global</v>
      </c>
      <c r="R17" s="73" t="str">
        <f>IF(ISBLANK('[1]Nickel Qualified Studies'!N16),"",'[1]Nickel Qualified Studies'!N16)</f>
        <v/>
      </c>
      <c r="S17" s="79" t="b">
        <v>1</v>
      </c>
      <c r="T17" s="80"/>
      <c r="V17" s="7" t="str">
        <f>IF(ISBLANK('[1]Nickel Peripheral Studies'!A16),"",'[1]Nickel Peripheral Studies'!A16)</f>
        <v/>
      </c>
      <c r="W17" s="7" t="str">
        <f>IF(ISBLANK('[1]Nickel Peripheral Studies'!B16),"",'[1]Nickel Peripheral Studies'!B16)</f>
        <v/>
      </c>
      <c r="X17" s="7" t="str">
        <f>IF(ISBLANK('[1]Nickel Peripheral Studies'!C16),"",'[1]Nickel Peripheral Studies'!C16)</f>
        <v/>
      </c>
      <c r="Y17" s="7" t="str">
        <f>IF(ISBLANK('[1]Nickel Peripheral Studies'!D16),"",'[1]Nickel Peripheral Studies'!D16)</f>
        <v/>
      </c>
      <c r="Z17" s="7" t="str">
        <f>IF(ISBLANK('[1]Nickel Peripheral Studies'!E16),"",'[1]Nickel Peripheral Studies'!E16)</f>
        <v/>
      </c>
      <c r="AA17" s="7" t="str">
        <f>IF(ISBLANK('[1]Nickel Peripheral Studies'!F16),"",'[1]Nickel Peripheral Studies'!F16)</f>
        <v/>
      </c>
      <c r="AB17" s="7" t="str">
        <f>IF(ISBLANK('[1]Nickel Peripheral Studies'!G16),"",'[1]Nickel Peripheral Studies'!G16)</f>
        <v/>
      </c>
      <c r="AC17" s="7" t="str">
        <f>IF(ISBLANK('[1]Nickel Peripheral Studies'!H16),"",'[1]Nickel Peripheral Studies'!H16)</f>
        <v/>
      </c>
      <c r="AD17" s="7" t="str">
        <f>IF(ISBLANK('[1]Nickel Peripheral Studies'!I16),"",'[1]Nickel Peripheral Studies'!I16)</f>
        <v/>
      </c>
      <c r="AE17" s="7" t="str">
        <f>IF(ISBLANK('[1]Nickel Peripheral Studies'!J16),"",'[1]Nickel Peripheral Studies'!J16)</f>
        <v/>
      </c>
      <c r="AF17" s="7" t="str">
        <f>IF(ISBLANK('[1]Nickel Peripheral Studies'!K16),"",'[1]Nickel Peripheral Studies'!K16)</f>
        <v/>
      </c>
    </row>
    <row r="18" spans="1:32" x14ac:dyDescent="0.3">
      <c r="A18" s="2" t="s">
        <v>71</v>
      </c>
      <c r="B18" s="2">
        <v>2.8393356549800002</v>
      </c>
      <c r="C18" s="2" t="s">
        <v>69</v>
      </c>
      <c r="D18" s="1" t="str">
        <f>IF(E18="EI 3.9.1 [Sulph, GLO]","","ERROR - check row order of Notion export")</f>
        <v/>
      </c>
      <c r="E18" s="73" t="str">
        <f>IF(ISBLANK('[1]Nickel Qualified Studies'!A17),"",'[1]Nickel Qualified Studies'!A17)</f>
        <v>EI 3.9.1 [Sulph, GLO]</v>
      </c>
      <c r="F18" s="73" t="str">
        <f>IF(ISBLANK('[1]Nickel Qualified Studies'!B17),"",'[1]Nickel Qualified Studies'!B17)</f>
        <v>nickel, class 1 processing of nickelrich materials</v>
      </c>
      <c r="G18" s="73" t="str">
        <f>IF(ISBLANK('[1]Nickel Qualified Studies'!C17),"",'[1]Nickel Qualified Studies'!C17)</f>
        <v>https://ecoquery.ecoinvent.org/3.9.1/cutoff/dataset/22681/impact_assessment</v>
      </c>
      <c r="H18" s="73" t="str">
        <f>IF(ISBLANK('[1]Nickel Qualified Studies'!D17),"",'[1]Nickel Qualified Studies'!D17)</f>
        <v>Database</v>
      </c>
      <c r="I18" s="73" t="str">
        <f>IF(ISBLANK('[1]Nickel Qualified Studies'!E17),"",'[1]Nickel Qualified Studies'!E17)</f>
        <v>5,627 kg_CO2e/kg_Ni_metal</v>
      </c>
      <c r="J18" s="74" t="str">
        <f>IF(ISBLANK('[1]Nickel Qualified Studies'!F17),"",'[1]Nickel Qualified Studies'!F17)</f>
        <v>2.83933565498 kg_CO2e/kg_NiSO4_anh</v>
      </c>
      <c r="K18" s="73" t="str">
        <f>IF(ISBLANK('[1]Nickel Qualified Studies'!G17),"",'[1]Nickel Qualified Studies'!G17)</f>
        <v/>
      </c>
      <c r="L18" s="73" t="str">
        <f>IF(ISBLANK('[1]Nickel Qualified Studies'!H17),"",'[1]Nickel Qualified Studies'!H17)</f>
        <v>1 kg Nickel metal</v>
      </c>
      <c r="M18" s="73" t="str">
        <f>IF(ISBLANK('[1]Nickel Qualified Studies'!I17),"",'[1]Nickel Qualified Studies'!I17)</f>
        <v/>
      </c>
      <c r="N18" s="73" t="str">
        <f>IF(ISBLANK('[1]Nickel Qualified Studies'!J17),"",'[1]Nickel Qualified Studies'!J17)</f>
        <v/>
      </c>
      <c r="O18" s="73" t="str">
        <f>IF(ISBLANK('[1]Nickel Qualified Studies'!K17),"",'[1]Nickel Qualified Studies'!K17)</f>
        <v>Nickel class I</v>
      </c>
      <c r="P18" s="73" t="str">
        <f>IF(ISBLANK('[1]Nickel Qualified Studies'!L17),"",'[1]Nickel Qualified Studies'!L17)</f>
        <v/>
      </c>
      <c r="Q18" s="73" t="str">
        <f>IF(ISBLANK('[1]Nickel Qualified Studies'!M17),"",'[1]Nickel Qualified Studies'!M17)</f>
        <v>Global</v>
      </c>
      <c r="R18" s="73" t="str">
        <f>IF(ISBLANK('[1]Nickel Qualified Studies'!N17),"",'[1]Nickel Qualified Studies'!N17)</f>
        <v/>
      </c>
      <c r="S18" s="79" t="b">
        <v>1</v>
      </c>
      <c r="T18" s="80"/>
      <c r="V18" s="7" t="str">
        <f>IF(ISBLANK('[1]Nickel Peripheral Studies'!A17),"",'[1]Nickel Peripheral Studies'!A17)</f>
        <v/>
      </c>
      <c r="W18" s="7" t="str">
        <f>IF(ISBLANK('[1]Nickel Peripheral Studies'!B17),"",'[1]Nickel Peripheral Studies'!B17)</f>
        <v/>
      </c>
      <c r="X18" s="7" t="str">
        <f>IF(ISBLANK('[1]Nickel Peripheral Studies'!C17),"",'[1]Nickel Peripheral Studies'!C17)</f>
        <v/>
      </c>
      <c r="Y18" s="7" t="str">
        <f>IF(ISBLANK('[1]Nickel Peripheral Studies'!D17),"",'[1]Nickel Peripheral Studies'!D17)</f>
        <v/>
      </c>
      <c r="Z18" s="7" t="str">
        <f>IF(ISBLANK('[1]Nickel Peripheral Studies'!E17),"",'[1]Nickel Peripheral Studies'!E17)</f>
        <v/>
      </c>
      <c r="AA18" s="7" t="str">
        <f>IF(ISBLANK('[1]Nickel Peripheral Studies'!F17),"",'[1]Nickel Peripheral Studies'!F17)</f>
        <v/>
      </c>
      <c r="AB18" s="7" t="str">
        <f>IF(ISBLANK('[1]Nickel Peripheral Studies'!G17),"",'[1]Nickel Peripheral Studies'!G17)</f>
        <v/>
      </c>
      <c r="AC18" s="7" t="str">
        <f>IF(ISBLANK('[1]Nickel Peripheral Studies'!H17),"",'[1]Nickel Peripheral Studies'!H17)</f>
        <v/>
      </c>
      <c r="AD18" s="7" t="str">
        <f>IF(ISBLANK('[1]Nickel Peripheral Studies'!I17),"",'[1]Nickel Peripheral Studies'!I17)</f>
        <v/>
      </c>
      <c r="AE18" s="7" t="str">
        <f>IF(ISBLANK('[1]Nickel Peripheral Studies'!J17),"",'[1]Nickel Peripheral Studies'!J17)</f>
        <v/>
      </c>
      <c r="AF18" s="7" t="str">
        <f>IF(ISBLANK('[1]Nickel Peripheral Studies'!K17),"",'[1]Nickel Peripheral Studies'!K17)</f>
        <v/>
      </c>
    </row>
    <row r="19" spans="1:32" x14ac:dyDescent="0.3">
      <c r="A19" s="2" t="s">
        <v>71</v>
      </c>
      <c r="B19" s="2">
        <v>4.7828395772999999</v>
      </c>
      <c r="C19" s="2" t="s">
        <v>69</v>
      </c>
      <c r="D19" s="1" t="str">
        <f>IF(E19="EI 3.9.1 [Sulph, GLO]","","ERROR - check row order of Notion export")</f>
        <v/>
      </c>
      <c r="E19" s="73" t="str">
        <f>IF(ISBLANK('[1]Nickel Qualified Studies'!A18),"",'[1]Nickel Qualified Studies'!A18)</f>
        <v>EI 3.9.1 [Sulph, GLO]</v>
      </c>
      <c r="F19" s="73" t="str">
        <f>IF(ISBLANK('[1]Nickel Qualified Studies'!B18),"",'[1]Nickel Qualified Studies'!B18)</f>
        <v>nickel, class 1 smelting and refining of nickel concentrate, 16% Ni</v>
      </c>
      <c r="G19" s="73" t="str">
        <f>IF(ISBLANK('[1]Nickel Qualified Studies'!C18),"",'[1]Nickel Qualified Studies'!C18)</f>
        <v>https://ecoquery.ecoinvent.org/3.9.1/cutoff/dataset/13353/impact_assessment</v>
      </c>
      <c r="H19" s="73" t="str">
        <f>IF(ISBLANK('[1]Nickel Qualified Studies'!D18),"",'[1]Nickel Qualified Studies'!D18)</f>
        <v>Database</v>
      </c>
      <c r="I19" s="73" t="str">
        <f>IF(ISBLANK('[1]Nickel Qualified Studies'!E18),"",'[1]Nickel Qualified Studies'!E18)</f>
        <v>10,495 kg_CO2e/kg_Ni_metal</v>
      </c>
      <c r="J19" s="74" t="str">
        <f>IF(ISBLANK('[1]Nickel Qualified Studies'!F18),"",'[1]Nickel Qualified Studies'!F18)</f>
        <v>4.7828395773 kg_CO2e/kg_NiSO4_anh</v>
      </c>
      <c r="K19" s="73" t="str">
        <f>IF(ISBLANK('[1]Nickel Qualified Studies'!G18),"",'[1]Nickel Qualified Studies'!G18)</f>
        <v/>
      </c>
      <c r="L19" s="73" t="str">
        <f>IF(ISBLANK('[1]Nickel Qualified Studies'!H18),"",'[1]Nickel Qualified Studies'!H18)</f>
        <v>1 kg Nickel metal</v>
      </c>
      <c r="M19" s="73" t="str">
        <f>IF(ISBLANK('[1]Nickel Qualified Studies'!I18),"",'[1]Nickel Qualified Studies'!I18)</f>
        <v/>
      </c>
      <c r="N19" s="73" t="str">
        <f>IF(ISBLANK('[1]Nickel Qualified Studies'!J18),"",'[1]Nickel Qualified Studies'!J18)</f>
        <v/>
      </c>
      <c r="O19" s="73" t="str">
        <f>IF(ISBLANK('[1]Nickel Qualified Studies'!K18),"",'[1]Nickel Qualified Studies'!K18)</f>
        <v>Nickel class I</v>
      </c>
      <c r="P19" s="73" t="str">
        <f>IF(ISBLANK('[1]Nickel Qualified Studies'!L18),"",'[1]Nickel Qualified Studies'!L18)</f>
        <v/>
      </c>
      <c r="Q19" s="73" t="str">
        <f>IF(ISBLANK('[1]Nickel Qualified Studies'!M18),"",'[1]Nickel Qualified Studies'!M18)</f>
        <v>Global</v>
      </c>
      <c r="R19" s="73" t="str">
        <f>IF(ISBLANK('[1]Nickel Qualified Studies'!N18),"",'[1]Nickel Qualified Studies'!N18)</f>
        <v/>
      </c>
      <c r="S19" s="79" t="b">
        <v>1</v>
      </c>
      <c r="T19" s="80"/>
      <c r="V19" s="7" t="str">
        <f>IF(ISBLANK('[1]Nickel Peripheral Studies'!A18),"",'[1]Nickel Peripheral Studies'!A18)</f>
        <v/>
      </c>
      <c r="W19" s="7" t="str">
        <f>IF(ISBLANK('[1]Nickel Peripheral Studies'!B18),"",'[1]Nickel Peripheral Studies'!B18)</f>
        <v/>
      </c>
      <c r="X19" s="7" t="str">
        <f>IF(ISBLANK('[1]Nickel Peripheral Studies'!C18),"",'[1]Nickel Peripheral Studies'!C18)</f>
        <v/>
      </c>
      <c r="Y19" s="7" t="str">
        <f>IF(ISBLANK('[1]Nickel Peripheral Studies'!D18),"",'[1]Nickel Peripheral Studies'!D18)</f>
        <v/>
      </c>
      <c r="Z19" s="7" t="str">
        <f>IF(ISBLANK('[1]Nickel Peripheral Studies'!E18),"",'[1]Nickel Peripheral Studies'!E18)</f>
        <v/>
      </c>
      <c r="AA19" s="7" t="str">
        <f>IF(ISBLANK('[1]Nickel Peripheral Studies'!F18),"",'[1]Nickel Peripheral Studies'!F18)</f>
        <v/>
      </c>
      <c r="AB19" s="7" t="str">
        <f>IF(ISBLANK('[1]Nickel Peripheral Studies'!G18),"",'[1]Nickel Peripheral Studies'!G18)</f>
        <v/>
      </c>
      <c r="AC19" s="7" t="str">
        <f>IF(ISBLANK('[1]Nickel Peripheral Studies'!H18),"",'[1]Nickel Peripheral Studies'!H18)</f>
        <v/>
      </c>
      <c r="AD19" s="7" t="str">
        <f>IF(ISBLANK('[1]Nickel Peripheral Studies'!I18),"",'[1]Nickel Peripheral Studies'!I18)</f>
        <v/>
      </c>
      <c r="AE19" s="7" t="str">
        <f>IF(ISBLANK('[1]Nickel Peripheral Studies'!J18),"",'[1]Nickel Peripheral Studies'!J18)</f>
        <v/>
      </c>
      <c r="AF19" s="7" t="str">
        <f>IF(ISBLANK('[1]Nickel Peripheral Studies'!K18),"",'[1]Nickel Peripheral Studies'!K18)</f>
        <v/>
      </c>
    </row>
    <row r="20" spans="1:32" x14ac:dyDescent="0.3">
      <c r="A20" s="2" t="s">
        <v>72</v>
      </c>
      <c r="B20" s="2">
        <v>4.0052783120760003</v>
      </c>
      <c r="C20" s="2" t="s">
        <v>69</v>
      </c>
      <c r="D20" s="1" t="str">
        <f>IF(E20="EI 3.9.1 [Sulph, RU]","","ERROR - check row order of Notion export")</f>
        <v/>
      </c>
      <c r="E20" s="73" t="str">
        <f>IF(ISBLANK('[1]Nickel Qualified Studies'!A19),"",'[1]Nickel Qualified Studies'!A19)</f>
        <v>EI 3.9.1 [Sulph, RU]</v>
      </c>
      <c r="F20" s="73" t="str">
        <f>IF(ISBLANK('[1]Nickel Qualified Studies'!B19),"",'[1]Nickel Qualified Studies'!B19)</f>
        <v>nickel, class 1 platinum group metal mine operation, ore with high palladium content</v>
      </c>
      <c r="G20" s="73" t="str">
        <f>IF(ISBLANK('[1]Nickel Qualified Studies'!C19),"",'[1]Nickel Qualified Studies'!C19)</f>
        <v>https://ecoquery.ecoinvent.org/3.9.1/cutoff/dataset/5172/impact_assessment</v>
      </c>
      <c r="H20" s="73" t="str">
        <f>IF(ISBLANK('[1]Nickel Qualified Studies'!D19),"",'[1]Nickel Qualified Studies'!D19)</f>
        <v>Database</v>
      </c>
      <c r="I20" s="73" t="str">
        <f>IF(ISBLANK('[1]Nickel Qualified Studies'!E19),"",'[1]Nickel Qualified Studies'!E19)</f>
        <v>8,5474 kg_CO2e/kg_Ni_metal</v>
      </c>
      <c r="J20" s="74" t="str">
        <f>IF(ISBLANK('[1]Nickel Qualified Studies'!F19),"",'[1]Nickel Qualified Studies'!F19)</f>
        <v>4.005278312076 kg_CO2e/kg_NiSO4_anh</v>
      </c>
      <c r="K20" s="73" t="str">
        <f>IF(ISBLANK('[1]Nickel Qualified Studies'!G19),"",'[1]Nickel Qualified Studies'!G19)</f>
        <v/>
      </c>
      <c r="L20" s="73" t="str">
        <f>IF(ISBLANK('[1]Nickel Qualified Studies'!H19),"",'[1]Nickel Qualified Studies'!H19)</f>
        <v>1 kg Nickel metal</v>
      </c>
      <c r="M20" s="73" t="str">
        <f>IF(ISBLANK('[1]Nickel Qualified Studies'!I19),"",'[1]Nickel Qualified Studies'!I19)</f>
        <v/>
      </c>
      <c r="N20" s="73" t="str">
        <f>IF(ISBLANK('[1]Nickel Qualified Studies'!J19),"",'[1]Nickel Qualified Studies'!J19)</f>
        <v/>
      </c>
      <c r="O20" s="73" t="str">
        <f>IF(ISBLANK('[1]Nickel Qualified Studies'!K19),"",'[1]Nickel Qualified Studies'!K19)</f>
        <v>Nickel class I</v>
      </c>
      <c r="P20" s="73" t="str">
        <f>IF(ISBLANK('[1]Nickel Qualified Studies'!L19),"",'[1]Nickel Qualified Studies'!L19)</f>
        <v/>
      </c>
      <c r="Q20" s="73" t="str">
        <f>IF(ISBLANK('[1]Nickel Qualified Studies'!M19),"",'[1]Nickel Qualified Studies'!M19)</f>
        <v>Russia</v>
      </c>
      <c r="R20" s="73" t="str">
        <f>IF(ISBLANK('[1]Nickel Qualified Studies'!N19),"",'[1]Nickel Qualified Studies'!N19)</f>
        <v/>
      </c>
      <c r="S20" s="79" t="b">
        <v>1</v>
      </c>
      <c r="T20" s="80"/>
    </row>
    <row r="21" spans="1:32" ht="86.4" x14ac:dyDescent="0.3">
      <c r="A21" s="2" t="s">
        <v>719</v>
      </c>
      <c r="B21" s="2">
        <v>10.9871622</v>
      </c>
      <c r="C21" s="2" t="s">
        <v>67</v>
      </c>
      <c r="D21" s="1" t="str">
        <f>IF(E21="T&amp;E Briefing","","ERROR - check row order of Notion export")</f>
        <v/>
      </c>
      <c r="E21" s="73" t="str">
        <f>IF(ISBLANK('[1]Nickel Qualified Studies'!A20),"",'[1]Nickel Qualified Studies'!A20)</f>
        <v>T&amp;E Briefing</v>
      </c>
      <c r="F21" s="73" t="str">
        <f>IF(ISBLANK('[1]Nickel Qualified Studies'!B20),"",'[1]Nickel Qualified Studies'!B20)</f>
        <v>Paving the way to cleaner nickel - Nickel in batteries and how to secure it sustainably</v>
      </c>
      <c r="G21" s="73" t="str">
        <f>IF(ISBLANK('[1]Nickel Qualified Studies'!C20),"",'[1]Nickel Qualified Studies'!C20)</f>
        <v>https://www.transportenvironment.org/discover/paving-the-way-to-cleaner-nickel/</v>
      </c>
      <c r="H21" s="73" t="str">
        <f>IF(ISBLANK('[1]Nickel Qualified Studies'!D20),"",'[1]Nickel Qualified Studies'!D20)</f>
        <v>Report</v>
      </c>
      <c r="I21" s="73" t="str">
        <f>IF(ISBLANK('[1]Nickel Qualified Studies'!E20),"",'[1]Nickel Qualified Studies'!E20)</f>
        <v>Laterite-Limonite (NC: HPAL): 28.97 [kg_CO2e/kg_Ni_in_NiSO₄·6H₂O]
Laterite-Limonite (ID: HPAL): 33.3 [kg_CO2e/kg_Ni_in_NiSO₄·6H₂O]
Laterite-Saperolite (ID: RKEF): 97.9 [kg_CO2e/kg_Ni_in_NiSO₄·6H₂O]</v>
      </c>
      <c r="J21" s="74" t="str">
        <f>IF(ISBLANK('[1]Nickel Qualified Studies'!F20),"",'[1]Nickel Qualified Studies'!F20)</f>
        <v>Laterite-Limonite (NC: HPAL): 10.9871622 [kg_CO2e/kg_NiSO4_anh]
Laterite-Limonite (ID: HPAL): 12.629358 [kg_CO2e/kg_NiSO4_anh]
Laterite-Saperolite (ID: RKEF): 37.129554 [kg_CO2e/kg_NiSO4_anh]</v>
      </c>
      <c r="K21" s="73" t="str">
        <f>IF(ISBLANK('[1]Nickel Qualified Studies'!G20),"",'[1]Nickel Qualified Studies'!G20)</f>
        <v>no</v>
      </c>
      <c r="L21" s="73" t="str">
        <f>IF(ISBLANK('[1]Nickel Qualified Studies'!H20),"",'[1]Nickel Qualified Studies'!H20)</f>
        <v>1 kg Ni in Nickel sulfate heptahydrate</v>
      </c>
      <c r="M21" s="73" t="str">
        <f>IF(ISBLANK('[1]Nickel Qualified Studies'!I20),"",'[1]Nickel Qualified Studies'!I20)</f>
        <v>unclear</v>
      </c>
      <c r="N21" s="73" t="str">
        <f>IF(ISBLANK('[1]Nickel Qualified Studies'!J20),"",'[1]Nickel Qualified Studies'!J20)</f>
        <v>-- intransparent</v>
      </c>
      <c r="O21" s="73" t="str">
        <f>IF(ISBLANK('[1]Nickel Qualified Studies'!K20),"",'[1]Nickel Qualified Studies'!K20)</f>
        <v>Nickel sulfate</v>
      </c>
      <c r="P21" s="73" t="str">
        <f>IF(ISBLANK('[1]Nickel Qualified Studies'!L20),"",'[1]Nickel Qualified Studies'!L20)</f>
        <v>google search</v>
      </c>
      <c r="Q21" s="73" t="str">
        <f>IF(ISBLANK('[1]Nickel Qualified Studies'!M20),"",'[1]Nickel Qualified Studies'!M20)</f>
        <v>Canada, China, Indonesia, New Caledonia, Russia</v>
      </c>
      <c r="R21" s="73" t="str">
        <f>IF(ISBLANK('[1]Nickel Qualified Studies'!N20),"",'[1]Nickel Qualified Studies'!N20)</f>
        <v>Not specified</v>
      </c>
      <c r="S21" s="79" t="b">
        <v>1</v>
      </c>
      <c r="T21" s="80"/>
      <c r="V21" s="6"/>
    </row>
    <row r="22" spans="1:32" ht="57.6" x14ac:dyDescent="0.3">
      <c r="A22" s="2" t="s">
        <v>719</v>
      </c>
      <c r="B22" s="2">
        <v>12.629358</v>
      </c>
      <c r="C22" s="2" t="s">
        <v>67</v>
      </c>
      <c r="D22" s="1" t="str">
        <f>IF(E22="VDA Report","","ERROR - check row order of Notion export")</f>
        <v/>
      </c>
      <c r="E22" s="73" t="str">
        <f>IF(ISBLANK('[1]Nickel Qualified Studies'!A21),"",'[1]Nickel Qualified Studies'!A21)</f>
        <v>VDA Report</v>
      </c>
      <c r="F22" s="73" t="str">
        <f>IF(ISBLANK('[1]Nickel Qualified Studies'!B21),"",'[1]Nickel Qualified Studies'!B21)</f>
        <v>PRODUCT CARBON FOOTPRINT OF NICKEL
SULFATE HEXAHYDRATE PRODUCTION</v>
      </c>
      <c r="G22" s="73" t="str">
        <f>IF(ISBLANK('[1]Nickel Qualified Studies'!C21),"",'[1]Nickel Qualified Studies'!C21)</f>
        <v>https://26877240.fs1.hubspotusercontent-eu1.net/hubfs/26877240/Client%20Projects/VDA_Nickel_Sulfate_Hexahydrate_LCA_Report_2023.pdf</v>
      </c>
      <c r="H22" s="73" t="str">
        <f>IF(ISBLANK('[1]Nickel Qualified Studies'!D21),"",'[1]Nickel Qualified Studies'!D21)</f>
        <v>Report</v>
      </c>
      <c r="I22" s="73" t="str">
        <f>IF(ISBLANK('[1]Nickel Qualified Studies'!E21),"",'[1]Nickel Qualified Studies'!E21)</f>
        <v>Laterite-Limonite (ID: HPAL): 33.3 [kg_CO2e/kg_Ni_in_NiSO₄·6H₂O]
Laterite-Saperolite (ID: RKEF): 97.9 [kg_CO2e/kg_Ni_in_NiSO₄·6H₂O]</v>
      </c>
      <c r="J22" s="74" t="str">
        <f>IF(ISBLANK('[1]Nickel Qualified Studies'!F21),"",'[1]Nickel Qualified Studies'!F21)</f>
        <v>Laterite-Limonite (ID: HPAL): 12.629358 [kg_CO2e/kg_NiSO4_anh]_x000D_
Laterite-Saperolite (ID: RKEF): 37.129554 [kg_CO2e/kg_NiSO4_anh]</v>
      </c>
      <c r="K22" s="73" t="str">
        <f>IF(ISBLANK('[1]Nickel Qualified Studies'!G21),"",'[1]Nickel Qualified Studies'!G21)</f>
        <v>no</v>
      </c>
      <c r="L22" s="73" t="str">
        <f>IF(ISBLANK('[1]Nickel Qualified Studies'!H21),"",'[1]Nickel Qualified Studies'!H21)</f>
        <v>1 kg Ni in Nickel sulfate heptahydrate</v>
      </c>
      <c r="M22" s="73" t="str">
        <f>IF(ISBLANK('[1]Nickel Qualified Studies'!I21),"",'[1]Nickel Qualified Studies'!I21)</f>
        <v>see screenshot</v>
      </c>
      <c r="N22" s="73" t="str">
        <f>IF(ISBLANK('[1]Nickel Qualified Studies'!J21),"",'[1]Nickel Qualified Studies'!J21)</f>
        <v>- intransparent</v>
      </c>
      <c r="O22" s="73" t="str">
        <f>IF(ISBLANK('[1]Nickel Qualified Studies'!K21),"",'[1]Nickel Qualified Studies'!K21)</f>
        <v>Nickel sulfate</v>
      </c>
      <c r="P22" s="73" t="str">
        <f>IF(ISBLANK('[1]Nickel Qualified Studies'!L21),"",'[1]Nickel Qualified Studies'!L21)</f>
        <v>google search</v>
      </c>
      <c r="Q22" s="73" t="str">
        <f>IF(ISBLANK('[1]Nickel Qualified Studies'!M21),"",'[1]Nickel Qualified Studies'!M21)</f>
        <v>China, Indonesia</v>
      </c>
      <c r="R22" s="73" t="str">
        <f>IF(ISBLANK('[1]Nickel Qualified Studies'!N21),"",'[1]Nickel Qualified Studies'!N21)</f>
        <v>Not specified</v>
      </c>
      <c r="S22" s="79" t="b">
        <v>0</v>
      </c>
      <c r="T22" s="80" t="s">
        <v>720</v>
      </c>
      <c r="V22" s="6"/>
    </row>
    <row r="23" spans="1:32" x14ac:dyDescent="0.3">
      <c r="A23" s="2" t="s">
        <v>719</v>
      </c>
      <c r="B23" s="2">
        <v>37.129553999999999</v>
      </c>
      <c r="C23" s="2" t="s">
        <v>67</v>
      </c>
      <c r="D23" s="1" t="str">
        <f>IF(E23="","","ERROR - check row order of Notion export")</f>
        <v/>
      </c>
      <c r="E23" s="73" t="str">
        <f>IF(ISBLANK('[1]Nickel Qualified Studies'!A22),"",'[1]Nickel Qualified Studies'!A22)</f>
        <v/>
      </c>
      <c r="F23" s="73" t="str">
        <f>IF(ISBLANK('[1]Nickel Qualified Studies'!B22),"",'[1]Nickel Qualified Studies'!B22)</f>
        <v/>
      </c>
      <c r="G23" s="73" t="str">
        <f>IF(ISBLANK('[1]Nickel Qualified Studies'!C22),"",'[1]Nickel Qualified Studies'!C22)</f>
        <v/>
      </c>
      <c r="H23" s="73" t="str">
        <f>IF(ISBLANK('[1]Nickel Qualified Studies'!D22),"",'[1]Nickel Qualified Studies'!D22)</f>
        <v/>
      </c>
      <c r="I23" s="73" t="str">
        <f>IF(ISBLANK('[1]Nickel Qualified Studies'!E22),"",'[1]Nickel Qualified Studies'!E22)</f>
        <v/>
      </c>
      <c r="J23" s="74" t="str">
        <f>IF(ISBLANK('[1]Nickel Qualified Studies'!F22),"",'[1]Nickel Qualified Studies'!F22)</f>
        <v/>
      </c>
      <c r="K23" s="73" t="str">
        <f>IF(ISBLANK('[1]Nickel Qualified Studies'!G22),"",'[1]Nickel Qualified Studies'!G22)</f>
        <v/>
      </c>
      <c r="L23" s="73" t="str">
        <f>IF(ISBLANK('[1]Nickel Qualified Studies'!H22),"",'[1]Nickel Qualified Studies'!H22)</f>
        <v/>
      </c>
      <c r="M23" s="73" t="str">
        <f>IF(ISBLANK('[1]Nickel Qualified Studies'!I22),"",'[1]Nickel Qualified Studies'!I22)</f>
        <v/>
      </c>
      <c r="N23" s="73" t="str">
        <f>IF(ISBLANK('[1]Nickel Qualified Studies'!J22),"",'[1]Nickel Qualified Studies'!J22)</f>
        <v/>
      </c>
      <c r="O23" s="73" t="str">
        <f>IF(ISBLANK('[1]Nickel Qualified Studies'!K22),"",'[1]Nickel Qualified Studies'!K22)</f>
        <v/>
      </c>
      <c r="P23" s="73" t="str">
        <f>IF(ISBLANK('[1]Nickel Qualified Studies'!L22),"",'[1]Nickel Qualified Studies'!L22)</f>
        <v/>
      </c>
      <c r="Q23" s="73" t="str">
        <f>IF(ISBLANK('[1]Nickel Qualified Studies'!M22),"",'[1]Nickel Qualified Studies'!M22)</f>
        <v/>
      </c>
      <c r="R23" s="73" t="str">
        <f>IF(ISBLANK('[1]Nickel Qualified Studies'!N22),"",'[1]Nickel Qualified Studies'!N22)</f>
        <v/>
      </c>
      <c r="S23" s="79"/>
      <c r="T23" s="80"/>
      <c r="V23" s="6"/>
    </row>
    <row r="24" spans="1:32" x14ac:dyDescent="0.3">
      <c r="D24" s="1" t="str">
        <f>IF(E24="","","ERROR - check row order of Notion export")</f>
        <v/>
      </c>
      <c r="E24" s="73" t="str">
        <f>IF(ISBLANK('[1]Nickel Qualified Studies'!A23),"",'[1]Nickel Qualified Studies'!A23)</f>
        <v/>
      </c>
      <c r="F24" s="73" t="str">
        <f>IF(ISBLANK('[1]Nickel Qualified Studies'!B23),"",'[1]Nickel Qualified Studies'!B23)</f>
        <v/>
      </c>
      <c r="G24" s="73" t="str">
        <f>IF(ISBLANK('[1]Nickel Qualified Studies'!C23),"",'[1]Nickel Qualified Studies'!C23)</f>
        <v/>
      </c>
      <c r="H24" s="73" t="str">
        <f>IF(ISBLANK('[1]Nickel Qualified Studies'!D23),"",'[1]Nickel Qualified Studies'!D23)</f>
        <v/>
      </c>
      <c r="I24" s="73" t="str">
        <f>IF(ISBLANK('[1]Nickel Qualified Studies'!E23),"",'[1]Nickel Qualified Studies'!E23)</f>
        <v/>
      </c>
      <c r="J24" s="74" t="str">
        <f>IF(ISBLANK('[1]Nickel Qualified Studies'!F23),"",'[1]Nickel Qualified Studies'!F23)</f>
        <v/>
      </c>
      <c r="K24" s="73" t="str">
        <f>IF(ISBLANK('[1]Nickel Qualified Studies'!G23),"",'[1]Nickel Qualified Studies'!G23)</f>
        <v/>
      </c>
      <c r="L24" s="73" t="str">
        <f>IF(ISBLANK('[1]Nickel Qualified Studies'!H23),"",'[1]Nickel Qualified Studies'!H23)</f>
        <v/>
      </c>
      <c r="M24" s="73" t="str">
        <f>IF(ISBLANK('[1]Nickel Qualified Studies'!I23),"",'[1]Nickel Qualified Studies'!I23)</f>
        <v/>
      </c>
      <c r="N24" s="73" t="str">
        <f>IF(ISBLANK('[1]Nickel Qualified Studies'!J23),"",'[1]Nickel Qualified Studies'!J23)</f>
        <v/>
      </c>
      <c r="O24" s="73" t="str">
        <f>IF(ISBLANK('[1]Nickel Qualified Studies'!K23),"",'[1]Nickel Qualified Studies'!K23)</f>
        <v/>
      </c>
      <c r="P24" s="73" t="str">
        <f>IF(ISBLANK('[1]Nickel Qualified Studies'!L23),"",'[1]Nickel Qualified Studies'!L23)</f>
        <v/>
      </c>
      <c r="Q24" s="73" t="str">
        <f>IF(ISBLANK('[1]Nickel Qualified Studies'!M23),"",'[1]Nickel Qualified Studies'!M23)</f>
        <v/>
      </c>
      <c r="R24" s="73" t="str">
        <f>IF(ISBLANK('[1]Nickel Qualified Studies'!N23),"",'[1]Nickel Qualified Studies'!N23)</f>
        <v/>
      </c>
      <c r="S24" s="79"/>
      <c r="T24" s="80"/>
      <c r="V24" s="6"/>
    </row>
    <row r="25" spans="1:32" x14ac:dyDescent="0.3">
      <c r="V25" s="6"/>
    </row>
    <row r="41" spans="5:5" x14ac:dyDescent="0.3">
      <c r="E41" s="6"/>
    </row>
    <row r="42" spans="5:5" x14ac:dyDescent="0.3">
      <c r="E42" s="6"/>
    </row>
  </sheetData>
  <mergeCells count="4">
    <mergeCell ref="A1:C1"/>
    <mergeCell ref="E1:R1"/>
    <mergeCell ref="S1:T1"/>
    <mergeCell ref="V1:AF1"/>
  </mergeCells>
  <conditionalFormatting sqref="D1:D1048576">
    <cfRule type="containsText" dxfId="12" priority="1" operator="containsText" text="ERROR">
      <formula>NOT(ISERROR(SEARCH("ERROR",D1)))</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9F2F4-0A46-47D4-89A3-D502B2C4B0E8}">
  <dimension ref="A1:H34"/>
  <sheetViews>
    <sheetView zoomScale="70" zoomScaleNormal="70" workbookViewId="0">
      <selection sqref="A1:F1"/>
    </sheetView>
  </sheetViews>
  <sheetFormatPr defaultColWidth="10.6640625" defaultRowHeight="14.4" x14ac:dyDescent="0.3"/>
  <cols>
    <col min="1" max="1" width="30.21875" style="45" customWidth="1"/>
    <col min="2" max="2" width="18.109375" style="45" customWidth="1"/>
    <col min="3" max="3" width="16.88671875" style="45" customWidth="1"/>
    <col min="4" max="4" width="16.21875" style="45" customWidth="1"/>
    <col min="5" max="5" width="29.109375" style="6" customWidth="1"/>
    <col min="6" max="6" width="28.5546875" style="6" customWidth="1"/>
    <col min="7" max="16384" width="10.6640625" style="6"/>
  </cols>
  <sheetData>
    <row r="1" spans="1:8" x14ac:dyDescent="0.3">
      <c r="A1" s="85" t="s">
        <v>107</v>
      </c>
      <c r="B1" s="85"/>
      <c r="C1" s="85"/>
      <c r="D1" s="85"/>
      <c r="E1" s="85"/>
      <c r="F1" s="85"/>
    </row>
    <row r="2" spans="1:8" ht="28.8" x14ac:dyDescent="0.3">
      <c r="A2" s="14" t="s">
        <v>33</v>
      </c>
      <c r="B2" s="14" t="s">
        <v>22</v>
      </c>
      <c r="C2" s="14" t="s">
        <v>6</v>
      </c>
      <c r="D2" s="14" t="s">
        <v>31</v>
      </c>
      <c r="E2" s="14" t="s">
        <v>10</v>
      </c>
      <c r="F2" s="14" t="s">
        <v>118</v>
      </c>
      <c r="H2" s="1" t="s">
        <v>711</v>
      </c>
    </row>
    <row r="3" spans="1:8" x14ac:dyDescent="0.3">
      <c r="A3" s="14" t="s">
        <v>709</v>
      </c>
      <c r="B3" s="18">
        <v>-1</v>
      </c>
      <c r="C3" s="18">
        <v>-1</v>
      </c>
      <c r="D3" s="18">
        <v>-1</v>
      </c>
      <c r="E3" s="18">
        <v>-1</v>
      </c>
      <c r="F3" s="18">
        <v>-1</v>
      </c>
    </row>
    <row r="4" spans="1:8" x14ac:dyDescent="0.3">
      <c r="A4" s="14" t="s">
        <v>710</v>
      </c>
      <c r="B4" s="18">
        <v>-1</v>
      </c>
      <c r="C4" s="18">
        <v>-1</v>
      </c>
      <c r="D4" s="18">
        <v>-1</v>
      </c>
      <c r="E4" s="18">
        <v>-1</v>
      </c>
      <c r="F4" s="18">
        <v>-1</v>
      </c>
    </row>
    <row r="5" spans="1:8" x14ac:dyDescent="0.3">
      <c r="A5" s="14"/>
      <c r="B5" s="18"/>
      <c r="C5" s="18"/>
      <c r="D5" s="18"/>
      <c r="E5" s="18"/>
      <c r="F5" s="18"/>
    </row>
    <row r="6" spans="1:8" x14ac:dyDescent="0.3">
      <c r="A6" s="28"/>
      <c r="B6" s="28"/>
      <c r="C6" s="28"/>
      <c r="D6" s="28"/>
      <c r="E6" s="28"/>
      <c r="F6" s="28"/>
    </row>
    <row r="7" spans="1:8" x14ac:dyDescent="0.3">
      <c r="A7" s="28"/>
      <c r="B7" s="28"/>
      <c r="C7" s="28"/>
      <c r="D7" s="28"/>
      <c r="E7" s="14"/>
      <c r="F7" s="14"/>
      <c r="G7" s="1"/>
    </row>
    <row r="8" spans="1:8" x14ac:dyDescent="0.3">
      <c r="A8" s="14"/>
      <c r="B8" s="14"/>
      <c r="C8" s="14"/>
      <c r="D8" s="14"/>
      <c r="E8" s="14"/>
      <c r="F8" s="14"/>
    </row>
    <row r="9" spans="1:8" x14ac:dyDescent="0.3">
      <c r="A9" s="14"/>
      <c r="B9" s="14"/>
      <c r="C9" s="14"/>
      <c r="D9" s="14"/>
      <c r="E9" s="14"/>
      <c r="F9" s="14"/>
    </row>
    <row r="10" spans="1:8" x14ac:dyDescent="0.3">
      <c r="A10" s="28"/>
      <c r="B10" s="28"/>
      <c r="C10" s="28"/>
      <c r="D10" s="28"/>
      <c r="E10" s="14"/>
      <c r="F10" s="14"/>
    </row>
    <row r="11" spans="1:8" x14ac:dyDescent="0.3">
      <c r="A11" s="28"/>
      <c r="B11" s="28"/>
      <c r="C11" s="28"/>
      <c r="D11" s="28"/>
      <c r="E11" s="14"/>
      <c r="F11" s="14"/>
    </row>
    <row r="12" spans="1:8" x14ac:dyDescent="0.3">
      <c r="A12" s="28"/>
      <c r="B12" s="28"/>
      <c r="C12" s="28"/>
      <c r="D12" s="28"/>
      <c r="E12" s="14"/>
      <c r="F12" s="14"/>
    </row>
    <row r="13" spans="1:8" x14ac:dyDescent="0.3">
      <c r="A13" s="28"/>
      <c r="B13" s="28"/>
      <c r="C13" s="28"/>
      <c r="D13" s="28"/>
      <c r="E13" s="14"/>
      <c r="F13" s="14"/>
    </row>
    <row r="14" spans="1:8" x14ac:dyDescent="0.3">
      <c r="A14" s="28"/>
      <c r="B14" s="28"/>
      <c r="C14" s="28"/>
      <c r="D14" s="28"/>
      <c r="E14" s="14"/>
      <c r="F14" s="14"/>
    </row>
    <row r="15" spans="1:8" x14ac:dyDescent="0.3">
      <c r="A15" s="28"/>
      <c r="B15" s="28"/>
      <c r="C15" s="28"/>
      <c r="D15" s="28"/>
      <c r="E15" s="14"/>
      <c r="F15" s="14"/>
    </row>
    <row r="16" spans="1:8" x14ac:dyDescent="0.3">
      <c r="A16" s="28"/>
      <c r="B16" s="28"/>
      <c r="C16" s="28"/>
      <c r="D16" s="28"/>
      <c r="E16" s="14"/>
      <c r="F16" s="14"/>
    </row>
    <row r="17" spans="1:6" x14ac:dyDescent="0.3">
      <c r="A17" s="28"/>
      <c r="B17" s="28"/>
      <c r="C17" s="28"/>
      <c r="D17" s="28"/>
      <c r="E17" s="14"/>
      <c r="F17" s="14"/>
    </row>
    <row r="18" spans="1:6" x14ac:dyDescent="0.3">
      <c r="A18" s="28"/>
      <c r="B18" s="28"/>
      <c r="C18" s="28"/>
      <c r="D18" s="28"/>
      <c r="E18" s="14"/>
      <c r="F18" s="14"/>
    </row>
    <row r="19" spans="1:6" x14ac:dyDescent="0.3">
      <c r="A19" s="28"/>
      <c r="B19" s="28"/>
      <c r="C19" s="28"/>
      <c r="D19" s="28"/>
      <c r="E19" s="14"/>
      <c r="F19" s="14"/>
    </row>
    <row r="20" spans="1:6" x14ac:dyDescent="0.3">
      <c r="A20" s="28"/>
      <c r="B20" s="28"/>
      <c r="C20" s="28"/>
      <c r="D20" s="28"/>
      <c r="E20" s="14"/>
      <c r="F20" s="14"/>
    </row>
    <row r="21" spans="1:6" x14ac:dyDescent="0.3">
      <c r="A21" s="28"/>
      <c r="B21" s="28"/>
      <c r="C21" s="28"/>
      <c r="D21" s="28"/>
      <c r="E21" s="14"/>
      <c r="F21" s="14"/>
    </row>
    <row r="22" spans="1:6" x14ac:dyDescent="0.3">
      <c r="A22" s="28"/>
      <c r="B22" s="28"/>
      <c r="C22" s="28"/>
      <c r="D22" s="28"/>
      <c r="E22" s="14"/>
      <c r="F22" s="14"/>
    </row>
    <row r="23" spans="1:6" x14ac:dyDescent="0.3">
      <c r="A23" s="28"/>
      <c r="B23" s="28"/>
      <c r="C23" s="28"/>
      <c r="D23" s="28"/>
      <c r="E23" s="14"/>
      <c r="F23" s="14"/>
    </row>
    <row r="24" spans="1:6" ht="15" customHeight="1" x14ac:dyDescent="0.3">
      <c r="A24" s="28"/>
      <c r="B24" s="28"/>
      <c r="C24" s="28"/>
      <c r="D24" s="28"/>
      <c r="E24" s="14"/>
      <c r="F24" s="14"/>
    </row>
    <row r="25" spans="1:6" ht="15" customHeight="1" x14ac:dyDescent="0.3"/>
    <row r="26" spans="1:6" ht="15" customHeight="1" x14ac:dyDescent="0.3"/>
    <row r="34" s="6" customFormat="1" x14ac:dyDescent="0.3"/>
  </sheetData>
  <mergeCells count="1">
    <mergeCell ref="A1:F1"/>
  </mergeCells>
  <pageMargins left="0.7" right="0.7" top="0.78740157499999996" bottom="0.78740157499999996"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13255-E5E6-48F5-B43C-8EC351D9C58A}">
  <dimension ref="A1:AC23"/>
  <sheetViews>
    <sheetView zoomScale="108" zoomScaleNormal="70" workbookViewId="0">
      <selection sqref="A1:C1"/>
    </sheetView>
  </sheetViews>
  <sheetFormatPr defaultColWidth="9.109375" defaultRowHeight="14.4" x14ac:dyDescent="0.3"/>
  <cols>
    <col min="1" max="1" width="23.77734375" style="1" customWidth="1"/>
    <col min="2" max="2" width="9.109375" style="1"/>
    <col min="3" max="3" width="14.33203125" style="1" customWidth="1"/>
    <col min="4" max="15" width="9.109375" style="1"/>
    <col min="16" max="16" width="10.44140625" style="1" customWidth="1"/>
    <col min="17" max="17" width="12.33203125" style="1" customWidth="1"/>
    <col min="18" max="16384" width="9.109375" style="1"/>
  </cols>
  <sheetData>
    <row r="1" spans="1:29" x14ac:dyDescent="0.3">
      <c r="A1" s="108" t="s">
        <v>107</v>
      </c>
      <c r="B1" s="108"/>
      <c r="C1" s="108"/>
      <c r="E1" s="88" t="s">
        <v>156</v>
      </c>
      <c r="F1" s="88"/>
      <c r="G1" s="88"/>
      <c r="H1" s="88"/>
      <c r="I1" s="88"/>
      <c r="J1" s="88"/>
      <c r="K1" s="88"/>
      <c r="L1" s="88"/>
      <c r="M1" s="88"/>
      <c r="N1" s="88"/>
      <c r="O1" s="88"/>
      <c r="P1" s="109" t="s">
        <v>112</v>
      </c>
      <c r="Q1" s="109"/>
      <c r="S1" s="88" t="s">
        <v>157</v>
      </c>
      <c r="T1" s="88"/>
      <c r="U1" s="88"/>
      <c r="V1" s="88"/>
      <c r="W1" s="88"/>
      <c r="X1" s="88"/>
      <c r="Y1" s="88"/>
      <c r="Z1" s="88"/>
      <c r="AA1" s="88"/>
      <c r="AB1" s="88"/>
      <c r="AC1" s="1" t="s">
        <v>35</v>
      </c>
    </row>
    <row r="2" spans="1:29" ht="28.8" x14ac:dyDescent="0.3">
      <c r="A2" s="2" t="s">
        <v>34</v>
      </c>
      <c r="B2" s="2" t="s">
        <v>153</v>
      </c>
      <c r="C2" s="2" t="s">
        <v>65</v>
      </c>
      <c r="E2" s="3" t="str">
        <f>IF(ISBLANK('[1]Graphite Qualified Studies'!A1),"",'[1]Graphite Qualified Studies'!A1)</f>
        <v>Source</v>
      </c>
      <c r="F2" s="3" t="str">
        <f>IF(ISBLANK('[1]Graphite Qualified Studies'!B1),"",'[1]Graphite Qualified Studies'!B1)</f>
        <v>Title</v>
      </c>
      <c r="G2" s="3" t="str">
        <f>IF(ISBLANK('[1]Graphite Qualified Studies'!C1),"",'[1]Graphite Qualified Studies'!C1)</f>
        <v>Link</v>
      </c>
      <c r="H2" s="3" t="str">
        <f>IF(ISBLANK('[1]Graphite Qualified Studies'!D1),"",'[1]Graphite Qualified Studies'!D1)</f>
        <v>Source type</v>
      </c>
      <c r="I2" s="3" t="str">
        <f>IF(ISBLANK('[1]Graphite Qualified Studies'!E1),"",'[1]Graphite Qualified Studies'!E1)</f>
        <v>Total emissions [kgCO2eq/kg]</v>
      </c>
      <c r="J2" s="3" t="str">
        <f>IF(ISBLANK('[1]Graphite Qualified Studies'!F1),"",'[1]Graphite Qualified Studies'!F1)</f>
        <v>Harmonised emissions [kgCO2eq/kg]</v>
      </c>
      <c r="K2" s="3" t="str">
        <f>IF(ISBLANK('[1]Graphite Qualified Studies'!G1),"",'[1]Graphite Qualified Studies'!G1)</f>
        <v>Primary data?</v>
      </c>
      <c r="L2" s="3" t="str">
        <f>IF(ISBLANK('[1]Graphite Qualified Studies'!H1),"",'[1]Graphite Qualified Studies'!H1)</f>
        <v>Functional unit?</v>
      </c>
      <c r="M2" s="3" t="str">
        <f>IF(ISBLANK('[1]Graphite Qualified Studies'!I1),"",'[1]Graphite Qualified Studies'!I1)</f>
        <v>System boundaries</v>
      </c>
      <c r="N2" s="3" t="str">
        <f>IF(ISBLANK('[1]Graphite Qualified Studies'!J1),"",'[1]Graphite Qualified Studies'!J1)</f>
        <v>Methodological transparency</v>
      </c>
      <c r="O2" s="3" t="str">
        <f>IF(ISBLANK('[1]Graphite Qualified Studies'!K1),"",'[1]Graphite Qualified Studies'!K1)</f>
        <v>Process / ore type?</v>
      </c>
      <c r="P2" s="4" t="s">
        <v>105</v>
      </c>
      <c r="Q2" s="5" t="s">
        <v>109</v>
      </c>
      <c r="S2" s="3" t="str">
        <f>IF(ISBLANK('[1]Graphite Peripheral Studies'!A1),"",'[1]Graphite Peripheral Studies'!A1)</f>
        <v>Source</v>
      </c>
      <c r="T2" s="3" t="str">
        <f>IF(ISBLANK('[1]Graphite Peripheral Studies'!B1),"",'[1]Graphite Peripheral Studies'!B1)</f>
        <v>Title</v>
      </c>
      <c r="U2" s="3" t="str">
        <f>IF(ISBLANK('[1]Graphite Peripheral Studies'!C1),"",'[1]Graphite Peripheral Studies'!C1)</f>
        <v>Link</v>
      </c>
      <c r="V2" s="3" t="str">
        <f>IF(ISBLANK('[1]Graphite Peripheral Studies'!D1),"",'[1]Graphite Peripheral Studies'!D1)</f>
        <v>Source type</v>
      </c>
      <c r="W2" s="3" t="str">
        <f>IF(ISBLANK('[1]Graphite Peripheral Studies'!E1),"",'[1]Graphite Peripheral Studies'!E1)</f>
        <v>Total emissions</v>
      </c>
      <c r="X2" s="3" t="str">
        <f>IF(ISBLANK('[1]Graphite Peripheral Studies'!F1),"",'[1]Graphite Peripheral Studies'!F1)</f>
        <v>Primary data?</v>
      </c>
      <c r="Y2" s="3" t="str">
        <f>IF(ISBLANK('[1]Graphite Peripheral Studies'!G1),"",'[1]Graphite Peripheral Studies'!G1)</f>
        <v>Functional unit?</v>
      </c>
      <c r="Z2" s="3" t="str">
        <f>IF(ISBLANK('[1]Graphite Peripheral Studies'!H1),"",'[1]Graphite Peripheral Studies'!H1)</f>
        <v>System boundaries</v>
      </c>
      <c r="AA2" s="3" t="str">
        <f>IF(ISBLANK('[1]Graphite Peripheral Studies'!I1),"",'[1]Graphite Peripheral Studies'!I1)</f>
        <v>Methodological transparency</v>
      </c>
      <c r="AB2" s="3" t="str">
        <f>IF(ISBLANK('[1]Graphite Peripheral Studies'!J1),"",'[1]Graphite Peripheral Studies'!J1)</f>
        <v>Process / ore type?</v>
      </c>
      <c r="AC2" s="1" t="s">
        <v>35</v>
      </c>
    </row>
    <row r="3" spans="1:29" x14ac:dyDescent="0.3">
      <c r="A3" s="2" t="s">
        <v>91</v>
      </c>
      <c r="B3" s="2">
        <v>13.8</v>
      </c>
      <c r="C3" s="2" t="s">
        <v>66</v>
      </c>
      <c r="D3" s="1" t="str">
        <f>IF(E3="Surovsteva et al (2022)","","ERROR - check row order of Notion export")</f>
        <v/>
      </c>
      <c r="E3" s="3" t="str">
        <f>IF(ISBLANK('[1]Graphite Qualified Studies'!A2),"",'[1]Graphite Qualified Studies'!A2)</f>
        <v>Surovsteva et al (2022)</v>
      </c>
      <c r="F3" s="3" t="str">
        <f>IF(ISBLANK('[1]Graphite Qualified Studies'!B2),"",'[1]Graphite Qualified Studies'!B2)</f>
        <v>Toward a life cycle inventory for graphite production</v>
      </c>
      <c r="G3" s="3" t="str">
        <f>IF(ISBLANK('[1]Graphite Qualified Studies'!C2),"",'[1]Graphite Qualified Studies'!C2)</f>
        <v>https://doi.org/10.1111/jiec.13234</v>
      </c>
      <c r="H3" s="3" t="str">
        <f>IF(ISBLANK('[1]Graphite Qualified Studies'!D2),"",'[1]Graphite Qualified Studies'!D2)</f>
        <v>Literature</v>
      </c>
      <c r="I3" s="3" t="str">
        <f>IF(ISBLANK('[1]Graphite Qualified Studies'!E2),"",'[1]Graphite Qualified Studies'!E2)</f>
        <v>13.8 kg CO2-eq/kgG</v>
      </c>
      <c r="J3" s="3" t="str">
        <f>IF(ISBLANK('[1]Graphite Qualified Studies'!F2),"",'[1]Graphite Qualified Studies'!F2)</f>
        <v>13.8 kgCO2-eq/kg_G</v>
      </c>
      <c r="K3" s="3" t="str">
        <f>IF(ISBLANK('[1]Graphite Qualified Studies'!G2),"",'[1]Graphite Qualified Studies'!G2)</f>
        <v>no, based on publicly available data</v>
      </c>
      <c r="L3" s="3" t="str">
        <f>IF(ISBLANK('[1]Graphite Qualified Studies'!H2),"",'[1]Graphite Qualified Studies'!H2)</f>
        <v>1 kg of synthetic graphite</v>
      </c>
      <c r="M3" s="3" t="str">
        <f>IF(ISBLANK('[1]Graphite Qualified Studies'!I2),"",'[1]Graphite Qualified Studies'!I2)</f>
        <v>see screenshot in notes</v>
      </c>
      <c r="N3" s="3" t="str">
        <f>IF(ISBLANK('[1]Graphite Qualified Studies'!J2),"",'[1]Graphite Qualified Studies'!J2)</f>
        <v>+ transparent</v>
      </c>
      <c r="O3" s="3" t="str">
        <f>IF(ISBLANK('[1]Graphite Qualified Studies'!K2),"",'[1]Graphite Qualified Studies'!K2)</f>
        <v>Synthetic graphite</v>
      </c>
      <c r="P3" s="4" t="b">
        <v>1</v>
      </c>
      <c r="Q3" s="4"/>
      <c r="S3" s="3" t="str">
        <f>IF(ISBLANK('[1]Graphite Peripheral Studies'!A2),"",'[1]Graphite Peripheral Studies'!A2)</f>
        <v>Notter et al (2010)</v>
      </c>
      <c r="T3" s="3" t="str">
        <f>IF(ISBLANK('[1]Graphite Peripheral Studies'!B2),"",'[1]Graphite Peripheral Studies'!B2)</f>
        <v>Contribution of Li-Ion Batteries to the Environmental Impact of Electric Vehicles</v>
      </c>
      <c r="U3" s="3" t="str">
        <f>IF(ISBLANK('[1]Graphite Peripheral Studies'!C2),"",'[1]Graphite Peripheral Studies'!C2)</f>
        <v>https://doi.org/10.1021/es903729a</v>
      </c>
      <c r="V3" s="3" t="str">
        <f>IF(ISBLANK('[1]Graphite Peripheral Studies'!D2),"",'[1]Graphite Peripheral Studies'!D2)</f>
        <v>Literature</v>
      </c>
      <c r="W3" s="3" t="str">
        <f>IF(ISBLANK('[1]Graphite Peripheral Studies'!E2),"",'[1]Graphite Peripheral Studies'!E2)</f>
        <v>0.345 kg CO2eq/kg LIB
(see SI, Table S21; GWP)</v>
      </c>
      <c r="X3" s="3" t="str">
        <f>IF(ISBLANK('[1]Graphite Peripheral Studies'!F2),"",'[1]Graphite Peripheral Studies'!F2)</f>
        <v>unclear</v>
      </c>
      <c r="Y3" s="3" t="str">
        <f>IF(ISBLANK('[1]Graphite Peripheral Studies'!G2),"",'[1]Graphite Peripheral Studies'!G2)</f>
        <v>for graphite: unclear
probably 1 kg of battery graphite (based on calculations Table S12)
for study: 1 km driven with vehicle (EV)</v>
      </c>
      <c r="Z3" s="3" t="str">
        <f>IF(ISBLANK('[1]Graphite Peripheral Studies'!H2),"",'[1]Graphite Peripheral Studies'!H2)</f>
        <v>paper covers vehicle production, use and disposal with a strong focus on LIBs
see input-output tables for foreground system for graphite-specific system boundaries 🙂</v>
      </c>
      <c r="AA3" s="3" t="str">
        <f>IF(ISBLANK('[1]Graphite Peripheral Studies'!I2),"",'[1]Graphite Peripheral Studies'!I2)</f>
        <v>- intransparent, -- intransparent</v>
      </c>
      <c r="AB3" s="3" t="str">
        <f>IF(ISBLANK('[1]Graphite Peripheral Studies'!J2),"",'[1]Graphite Peripheral Studies'!J2)</f>
        <v>Natural graphite, Synthetic graphite</v>
      </c>
      <c r="AC3" s="1" t="s">
        <v>35</v>
      </c>
    </row>
    <row r="4" spans="1:29" x14ac:dyDescent="0.3">
      <c r="A4" s="2" t="s">
        <v>89</v>
      </c>
      <c r="B4" s="2">
        <v>9.6159999999999997</v>
      </c>
      <c r="C4" s="2" t="s">
        <v>66</v>
      </c>
      <c r="D4" s="1" t="str">
        <f>IF(E4="Engels et al (2022a)","","ERROR - check row order of Notion export")</f>
        <v/>
      </c>
      <c r="E4" s="3" t="str">
        <f>IF(ISBLANK('[1]Graphite Qualified Studies'!A3),"",'[1]Graphite Qualified Studies'!A3)</f>
        <v>Engels et al (2022a)</v>
      </c>
      <c r="F4" s="3" t="str">
        <f>IF(ISBLANK('[1]Graphite Qualified Studies'!B3),"",'[1]Graphite Qualified Studies'!B3)</f>
        <v>Life cycle assessment of natural graphite production for lithium-ion battery anodes based on industrial primary data</v>
      </c>
      <c r="G4" s="3" t="str">
        <f>IF(ISBLANK('[1]Graphite Qualified Studies'!C3),"",'[1]Graphite Qualified Studies'!C3)</f>
        <v>https://doi.org/10.1016/j.jclepro.2022.130474</v>
      </c>
      <c r="H4" s="3" t="str">
        <f>IF(ISBLANK('[1]Graphite Qualified Studies'!D3),"",'[1]Graphite Qualified Studies'!D3)</f>
        <v>Literature</v>
      </c>
      <c r="I4" s="3" t="str">
        <f>IF(ISBLANK('[1]Graphite Qualified Studies'!E3),"",'[1]Graphite Qualified Studies'!E3)</f>
        <v>9.616 kgCO2-eq/kgG</v>
      </c>
      <c r="J4" s="3" t="str">
        <f>IF(ISBLANK('[1]Graphite Qualified Studies'!F3),"",'[1]Graphite Qualified Studies'!F3)</f>
        <v>9.616 kgCO2-eq/kg_G</v>
      </c>
      <c r="K4" s="3" t="str">
        <f>IF(ISBLANK('[1]Graphite Qualified Studies'!G3),"",'[1]Graphite Qualified Studies'!G3)</f>
        <v>yes ⇒ from Chinese graphite producer</v>
      </c>
      <c r="L4" s="3" t="str">
        <f>IF(ISBLANK('[1]Graphite Qualified Studies'!H3),"",'[1]Graphite Qualified Studies'!H3)</f>
        <v>1000 kg of purified natural spherical graphite anode material</v>
      </c>
      <c r="M4" s="3" t="str">
        <f>IF(ISBLANK('[1]Graphite Qualified Studies'!I3),"",'[1]Graphite Qualified Studies'!I3)</f>
        <v>see screenshot in notes</v>
      </c>
      <c r="N4" s="3" t="str">
        <f>IF(ISBLANK('[1]Graphite Qualified Studies'!J3),"",'[1]Graphite Qualified Studies'!J3)</f>
        <v>++ transparent</v>
      </c>
      <c r="O4" s="3" t="str">
        <f>IF(ISBLANK('[1]Graphite Qualified Studies'!K3),"",'[1]Graphite Qualified Studies'!K3)</f>
        <v>Natural graphite</v>
      </c>
      <c r="P4" s="4" t="b">
        <v>1</v>
      </c>
      <c r="Q4" s="4"/>
      <c r="S4" s="3" t="str">
        <f>IF(ISBLANK('[1]Graphite Peripheral Studies'!A3),"",'[1]Graphite Peripheral Studies'!A3)</f>
        <v>Majeau-Bettez et al (2011)</v>
      </c>
      <c r="T4" s="3" t="str">
        <f>IF(ISBLANK('[1]Graphite Peripheral Studies'!B3),"",'[1]Graphite Peripheral Studies'!B3)</f>
        <v>Life Cycle Environmental Assessment of Lithium-Ion and Nickel Metal Hydride Batteries for Plug-In Hybrid and Battery Electric Vehicles</v>
      </c>
      <c r="U4" s="3" t="str">
        <f>IF(ISBLANK('[1]Graphite Peripheral Studies'!C3),"",'[1]Graphite Peripheral Studies'!C3)</f>
        <v>https://doi.org/10.1021/es103607c</v>
      </c>
      <c r="V4" s="3" t="str">
        <f>IF(ISBLANK('[1]Graphite Peripheral Studies'!D3),"",'[1]Graphite Peripheral Studies'!D3)</f>
        <v>Literature</v>
      </c>
      <c r="W4" s="3" t="str">
        <f>IF(ISBLANK('[1]Graphite Peripheral Studies'!E3),"",'[1]Graphite Peripheral Studies'!E3)</f>
        <v>unclear</v>
      </c>
      <c r="X4" s="3" t="str">
        <f>IF(ISBLANK('[1]Graphite Peripheral Studies'!F3),"",'[1]Graphite Peripheral Studies'!F3)</f>
        <v>unclear</v>
      </c>
      <c r="Y4" s="3" t="str">
        <f>IF(ISBLANK('[1]Graphite Peripheral Studies'!G3),"",'[1]Graphite Peripheral Studies'!G3)</f>
        <v>“present the cradle-to-gate portion of our LCA in terms of battery mass (kg) and nominal energy capacity (Wh, at 1C-rate). Also, for the sake of giving an idea of the order of magnitude of our functional unit, we estimated the distance that could be driven with 50 MJ.”</v>
      </c>
      <c r="Z4" s="3" t="str">
        <f>IF(ISBLANK('[1]Graphite Peripheral Studies'!H3),"",'[1]Graphite Peripheral Studies'!H3)</f>
        <v/>
      </c>
      <c r="AA4" s="3" t="str">
        <f>IF(ISBLANK('[1]Graphite Peripheral Studies'!I3),"",'[1]Graphite Peripheral Studies'!I3)</f>
        <v>-- intransparent</v>
      </c>
      <c r="AB4" s="3" t="str">
        <f>IF(ISBLANK('[1]Graphite Peripheral Studies'!J3),"",'[1]Graphite Peripheral Studies'!J3)</f>
        <v>Unclear</v>
      </c>
      <c r="AC4" s="1" t="s">
        <v>35</v>
      </c>
    </row>
    <row r="5" spans="1:29" x14ac:dyDescent="0.3">
      <c r="A5" s="2" t="s">
        <v>90</v>
      </c>
      <c r="B5" s="2">
        <v>5.3159099999999997</v>
      </c>
      <c r="C5" s="2" t="s">
        <v>66</v>
      </c>
      <c r="D5" s="1" t="str">
        <f>IF(E5="Gao et al (2018)","","ERROR - check row order of Notion export")</f>
        <v/>
      </c>
      <c r="E5" s="3" t="str">
        <f>IF(ISBLANK('[1]Graphite Qualified Studies'!A4),"",'[1]Graphite Qualified Studies'!A4)</f>
        <v>Gao et al (2018)</v>
      </c>
      <c r="F5" s="3" t="str">
        <f>IF(ISBLANK('[1]Graphite Qualified Studies'!B4),"",'[1]Graphite Qualified Studies'!B4)</f>
        <v>Energy consumption and carbon emission analysis of natural graphite anode material for lithium batteries</v>
      </c>
      <c r="G5" s="3" t="str">
        <f>IF(ISBLANK('[1]Graphite Qualified Studies'!C4),"",'[1]Graphite Qualified Studies'!C4)</f>
        <v>https://doi.org/10.4028/www.scientific.net/MSF.913.985</v>
      </c>
      <c r="H5" s="3" t="str">
        <f>IF(ISBLANK('[1]Graphite Qualified Studies'!D4),"",'[1]Graphite Qualified Studies'!D4)</f>
        <v>Literature</v>
      </c>
      <c r="I5" s="3" t="str">
        <f>IF(ISBLANK('[1]Graphite Qualified Studies'!E4),"",'[1]Graphite Qualified Studies'!E4)</f>
        <v>Natural: 5.31591 kgCO2-eq/kgG</v>
      </c>
      <c r="J5" s="3" t="str">
        <f>IF(ISBLANK('[1]Graphite Qualified Studies'!F4),"",'[1]Graphite Qualified Studies'!F4)</f>
        <v>5.31591 kgCO2-eq/kg_G</v>
      </c>
      <c r="K5" s="3" t="str">
        <f>IF(ISBLANK('[1]Graphite Qualified Studies'!G4),"",'[1]Graphite Qualified Studies'!G4)</f>
        <v>partly ⇒ they mention primary data (next to secondary data) but don’t say where it is from… ⇒ not sure tough whether they mean foreground system and just call it “primary data”..</v>
      </c>
      <c r="L5" s="3" t="str">
        <f>IF(ISBLANK('[1]Graphite Qualified Studies'!H4),"",'[1]Graphite Qualified Studies'!H4)</f>
        <v>1 ton of natural graphite anode material</v>
      </c>
      <c r="M5" s="3" t="str">
        <f>IF(ISBLANK('[1]Graphite Qualified Studies'!I4),"",'[1]Graphite Qualified Studies'!I4)</f>
        <v>see screenshot in notes</v>
      </c>
      <c r="N5" s="3" t="str">
        <f>IF(ISBLANK('[1]Graphite Qualified Studies'!J4),"",'[1]Graphite Qualified Studies'!J4)</f>
        <v>+ transparent, - intransparent</v>
      </c>
      <c r="O5" s="3" t="str">
        <f>IF(ISBLANK('[1]Graphite Qualified Studies'!K4),"",'[1]Graphite Qualified Studies'!K4)</f>
        <v>Natural graphite</v>
      </c>
      <c r="P5" s="4" t="b">
        <v>1</v>
      </c>
      <c r="Q5" s="4"/>
      <c r="S5" s="3" t="str">
        <f>IF(ISBLANK('[1]Graphite Peripheral Studies'!A4),"",'[1]Graphite Peripheral Studies'!A4)</f>
        <v>Pehnt (2002)</v>
      </c>
      <c r="T5" s="3" t="str">
        <f>IF(ISBLANK('[1]Graphite Peripheral Studies'!B4),"",'[1]Graphite Peripheral Studies'!B4)</f>
        <v>Holistic accounting of fuel cells in energy and transportation technology</v>
      </c>
      <c r="U5" s="3" t="str">
        <f>IF(ISBLANK('[1]Graphite Peripheral Studies'!C4),"",'[1]Graphite Peripheral Studies'!C4)</f>
        <v>https://www.google.com/url?sa=t&amp;rct=j&amp;q=&amp;esrc=s&amp;source=web&amp;cd=&amp;ved=2ahUKEwjh9fiz4Mf-AhWRPewKHUBmDBYQFnoECAoQAQ&amp;url=https%3A%2F%2Fwww.ifeu.de%2Ffileadmin%2Fuploads%2Fdissertation_pehnt.pdf&amp;usg=AOvVaw0uDmJBX-ohjw-mW41NC-FG</v>
      </c>
      <c r="V5" s="3" t="str">
        <f>IF(ISBLANK('[1]Graphite Peripheral Studies'!D4),"",'[1]Graphite Peripheral Studies'!D4)</f>
        <v>Report</v>
      </c>
      <c r="W5" s="3" t="str">
        <f>IF(ISBLANK('[1]Graphite Peripheral Studies'!E4),"",'[1]Graphite Peripheral Studies'!E4)</f>
        <v>7.6 kg CO2eq/ ? (probably kg synthetic graphite ⇒ they say themselves that data quality is low here ⇒ only used for sensitivity analysis)
11.1 kg CO2eq/? (probably kg natural graphite from BRD)
13.5 kg CO2eq/? (probably kg natural graphite from Zimbabwe)</v>
      </c>
      <c r="X5" s="3" t="str">
        <f>IF(ISBLANK('[1]Graphite Peripheral Studies'!F4),"",'[1]Graphite Peripheral Studies'!F4)</f>
        <v>unclear</v>
      </c>
      <c r="Y5" s="3" t="str">
        <f>IF(ISBLANK('[1]Graphite Peripheral Studies'!G4),"",'[1]Graphite Peripheral Studies'!G4)</f>
        <v>unclear</v>
      </c>
      <c r="Z5" s="3" t="str">
        <f>IF(ISBLANK('[1]Graphite Peripheral Studies'!H4),"",'[1]Graphite Peripheral Studies'!H4)</f>
        <v>-</v>
      </c>
      <c r="AA5" s="3" t="str">
        <f>IF(ISBLANK('[1]Graphite Peripheral Studies'!I4),"",'[1]Graphite Peripheral Studies'!I4)</f>
        <v>- intransparent, -- intransparent</v>
      </c>
      <c r="AB5" s="3" t="str">
        <f>IF(ISBLANK('[1]Graphite Peripheral Studies'!J4),"",'[1]Graphite Peripheral Studies'!J4)</f>
        <v>Natural graphite</v>
      </c>
      <c r="AC5" s="1" t="s">
        <v>35</v>
      </c>
    </row>
    <row r="6" spans="1:29" x14ac:dyDescent="0.3">
      <c r="A6" s="2" t="s">
        <v>683</v>
      </c>
      <c r="B6" s="2">
        <v>6.56</v>
      </c>
      <c r="C6" s="2" t="s">
        <v>66</v>
      </c>
      <c r="D6" s="1" t="str">
        <f>IF(E6="Yin et al (2019)","","ERROR - check row order of Notion export")</f>
        <v/>
      </c>
      <c r="E6" s="3" t="str">
        <f>IF(ISBLANK('[1]Graphite Qualified Studies'!A5),"",'[1]Graphite Qualified Studies'!A5)</f>
        <v>Yin et al (2019)</v>
      </c>
      <c r="F6" s="3" t="str">
        <f>IF(ISBLANK('[1]Graphite Qualified Studies'!B5),"",'[1]Graphite Qualified Studies'!B5)</f>
        <v>Life cycle inventories of the commonly used materials for lithium-ion batteries in China</v>
      </c>
      <c r="G6" s="3" t="str">
        <f>IF(ISBLANK('[1]Graphite Qualified Studies'!C5),"",'[1]Graphite Qualified Studies'!C5)</f>
        <v>https://www.sciencedirect.com/science/article/pii/S0959652619312661</v>
      </c>
      <c r="H6" s="3" t="str">
        <f>IF(ISBLANK('[1]Graphite Qualified Studies'!D5),"",'[1]Graphite Qualified Studies'!D5)</f>
        <v>Literature</v>
      </c>
      <c r="I6" s="3" t="str">
        <f>IF(ISBLANK('[1]Graphite Qualified Studies'!E5),"",'[1]Graphite Qualified Studies'!E5)</f>
        <v xml:space="preserve">6.56 kgCO2-eq/kg (extracted with tool from fig. 10)
</v>
      </c>
      <c r="J6" s="3" t="str">
        <f>IF(ISBLANK('[1]Graphite Qualified Studies'!F5),"",'[1]Graphite Qualified Studies'!F5)</f>
        <v>6.56 kgCO2-eq/kg_G</v>
      </c>
      <c r="K6" s="3" t="str">
        <f>IF(ISBLANK('[1]Graphite Qualified Studies'!G5),"",'[1]Graphite Qualified Studies'!G5)</f>
        <v>New data collected from Chinese environmental performance assessment reports (EPARs) - see Table 2</v>
      </c>
      <c r="L6" s="3" t="str">
        <f>IF(ISBLANK('[1]Graphite Qualified Studies'!H5),"",'[1]Graphite Qualified Studies'!H5)</f>
        <v>1 kg</v>
      </c>
      <c r="M6" s="3" t="str">
        <f>IF(ISBLANK('[1]Graphite Qualified Studies'!I5),"",'[1]Graphite Qualified Studies'!I5)</f>
        <v>see screenshot</v>
      </c>
      <c r="N6" s="3" t="str">
        <f>IF(ISBLANK('[1]Graphite Qualified Studies'!J5),"",'[1]Graphite Qualified Studies'!J5)</f>
        <v>++ transparent</v>
      </c>
      <c r="O6" s="3" t="str">
        <f>IF(ISBLANK('[1]Graphite Qualified Studies'!K5),"",'[1]Graphite Qualified Studies'!K5)</f>
        <v>Synthetic graphite</v>
      </c>
      <c r="P6" s="4" t="b">
        <v>1</v>
      </c>
      <c r="Q6" s="4"/>
      <c r="S6" s="3" t="str">
        <f>IF(ISBLANK('[1]Graphite Peripheral Studies'!A5),"",'[1]Graphite Peripheral Studies'!A5)</f>
        <v>Pell et al (2021)</v>
      </c>
      <c r="T6" s="3" t="str">
        <f>IF(ISBLANK('[1]Graphite Peripheral Studies'!B5),"",'[1]Graphite Peripheral Studies'!B5)</f>
        <v>Climate impact of graphite production. Minviro.</v>
      </c>
      <c r="U6" s="3" t="str">
        <f>IF(ISBLANK('[1]Graphite Peripheral Studies'!C5),"",'[1]Graphite Peripheral Studies'!C5)</f>
        <v>https://www.minviro.com/communications/</v>
      </c>
      <c r="V6" s="3" t="str">
        <f>IF(ISBLANK('[1]Graphite Peripheral Studies'!D5),"",'[1]Graphite Peripheral Studies'!D5)</f>
        <v>Report</v>
      </c>
      <c r="W6" s="3" t="str">
        <f>IF(ISBLANK('[1]Graphite Peripheral Studies'!E5),"",'[1]Graphite Peripheral Studies'!E5)</f>
        <v>-</v>
      </c>
      <c r="X6" s="3" t="str">
        <f>IF(ISBLANK('[1]Graphite Peripheral Studies'!F5),"",'[1]Graphite Peripheral Studies'!F5)</f>
        <v>unclear</v>
      </c>
      <c r="Y6" s="3" t="str">
        <f>IF(ISBLANK('[1]Graphite Peripheral Studies'!G5),"",'[1]Graphite Peripheral Studies'!G5)</f>
        <v>kg anode grade graphite</v>
      </c>
      <c r="Z6" s="3" t="str">
        <f>IF(ISBLANK('[1]Graphite Peripheral Studies'!H5),"",'[1]Graphite Peripheral Studies'!H5)</f>
        <v>see screenshot</v>
      </c>
      <c r="AA6" s="3" t="str">
        <f>IF(ISBLANK('[1]Graphite Peripheral Studies'!I5),"",'[1]Graphite Peripheral Studies'!I5)</f>
        <v>- intransparent, -- intransparent</v>
      </c>
      <c r="AB6" s="3" t="str">
        <f>IF(ISBLANK('[1]Graphite Peripheral Studies'!J5),"",'[1]Graphite Peripheral Studies'!J5)</f>
        <v>Natural graphite, Synthetic graphite</v>
      </c>
      <c r="AC6" s="1" t="s">
        <v>35</v>
      </c>
    </row>
    <row r="7" spans="1:29" x14ac:dyDescent="0.3">
      <c r="A7" s="2" t="s">
        <v>92</v>
      </c>
      <c r="B7" s="2">
        <v>9.1110000000000007</v>
      </c>
      <c r="C7" s="2" t="s">
        <v>69</v>
      </c>
      <c r="D7" s="1" t="str">
        <f>IF(E7="GREET 2022 [synthetic]","","ERROR - check row order of Notion export")</f>
        <v/>
      </c>
      <c r="E7" s="3" t="str">
        <f>IF(ISBLANK('[1]Graphite Qualified Studies'!A6),"",'[1]Graphite Qualified Studies'!A6)</f>
        <v>GREET 2022 [synthetic]</v>
      </c>
      <c r="F7" s="3" t="str">
        <f>IF(ISBLANK('[1]Graphite Qualified Studies'!B6),"",'[1]Graphite Qualified Studies'!B6)</f>
        <v>synthetic pathway</v>
      </c>
      <c r="G7" s="3" t="str">
        <f>IF(ISBLANK('[1]Graphite Qualified Studies'!C6),"",'[1]Graphite Qualified Studies'!C6)</f>
        <v>https://greet.anl.gov/</v>
      </c>
      <c r="H7" s="3" t="str">
        <f>IF(ISBLANK('[1]Graphite Qualified Studies'!D6),"",'[1]Graphite Qualified Studies'!D6)</f>
        <v>Database</v>
      </c>
      <c r="I7" s="3" t="str">
        <f>IF(ISBLANK('[1]Graphite Qualified Studies'!E6),"",'[1]Graphite Qualified Studies'!E6)</f>
        <v>9.1116 kg CO2eq/kg synthetic graphite</v>
      </c>
      <c r="J7" s="3" t="str">
        <f>IF(ISBLANK('[1]Graphite Qualified Studies'!F6),"",'[1]Graphite Qualified Studies'!F6)</f>
        <v>9.1116 kgCO2-eq/kg_G</v>
      </c>
      <c r="K7" s="3" t="str">
        <f>IF(ISBLANK('[1]Graphite Qualified Studies'!G6),"",'[1]Graphite Qualified Studies'!G6)</f>
        <v/>
      </c>
      <c r="L7" s="3" t="str">
        <f>IF(ISBLANK('[1]Graphite Qualified Studies'!H6),"",'[1]Graphite Qualified Studies'!H6)</f>
        <v>1 ton of synthetic graphite</v>
      </c>
      <c r="M7" s="3" t="str">
        <f>IF(ISBLANK('[1]Graphite Qualified Studies'!I6),"",'[1]Graphite Qualified Studies'!I6)</f>
        <v/>
      </c>
      <c r="N7" s="3" t="str">
        <f>IF(ISBLANK('[1]Graphite Qualified Studies'!J6),"",'[1]Graphite Qualified Studies'!J6)</f>
        <v/>
      </c>
      <c r="O7" s="3" t="str">
        <f>IF(ISBLANK('[1]Graphite Qualified Studies'!K6),"",'[1]Graphite Qualified Studies'!K6)</f>
        <v>Synthetic graphite</v>
      </c>
      <c r="P7" s="4" t="b">
        <v>1</v>
      </c>
      <c r="Q7" s="4"/>
      <c r="S7" s="3" t="str">
        <f>IF(ISBLANK('[1]Graphite Peripheral Studies'!A6),"",'[1]Graphite Peripheral Studies'!A6)</f>
        <v>Dai et al (2019)</v>
      </c>
      <c r="T7" s="3" t="str">
        <f>IF(ISBLANK('[1]Graphite Peripheral Studies'!B6),"",'[1]Graphite Peripheral Studies'!B6)</f>
        <v>Life cycle analysis of lithium-ion batteries for automotive applications</v>
      </c>
      <c r="U7" s="3" t="str">
        <f>IF(ISBLANK('[1]Graphite Peripheral Studies'!C6),"",'[1]Graphite Peripheral Studies'!C6)</f>
        <v>https://doi.org/10.3390/batteries5020048</v>
      </c>
      <c r="V7" s="3" t="str">
        <f>IF(ISBLANK('[1]Graphite Peripheral Studies'!D6),"",'[1]Graphite Peripheral Studies'!D6)</f>
        <v>Literature</v>
      </c>
      <c r="W7" s="3" t="str">
        <f>IF(ISBLANK('[1]Graphite Peripheral Studies'!E6),"",'[1]Graphite Peripheral Studies'!E6)</f>
        <v>4.86 kg CO2eq/kg material (für NMC battery…)</v>
      </c>
      <c r="X7" s="3" t="str">
        <f>IF(ISBLANK('[1]Graphite Peripheral Studies'!F6),"",'[1]Graphite Peripheral Studies'!F6)</f>
        <v>no</v>
      </c>
      <c r="Y7" s="3" t="str">
        <f>IF(ISBLANK('[1]Graphite Peripheral Studies'!G6),"",'[1]Graphite Peripheral Studies'!G6)</f>
        <v>not specifically mentionned, but they calculate with 1kg of graphite</v>
      </c>
      <c r="Z7" s="3" t="str">
        <f>IF(ISBLANK('[1]Graphite Peripheral Studies'!H6),"",'[1]Graphite Peripheral Studies'!H6)</f>
        <v>see screenshot</v>
      </c>
      <c r="AA7" s="3" t="str">
        <f>IF(ISBLANK('[1]Graphite Peripheral Studies'!I6),"",'[1]Graphite Peripheral Studies'!I6)</f>
        <v>- intransparent</v>
      </c>
      <c r="AB7" s="3" t="str">
        <f>IF(ISBLANK('[1]Graphite Peripheral Studies'!J6),"",'[1]Graphite Peripheral Studies'!J6)</f>
        <v>Synthetic graphite</v>
      </c>
      <c r="AC7" s="1" t="s">
        <v>35</v>
      </c>
    </row>
    <row r="8" spans="1:29" x14ac:dyDescent="0.3">
      <c r="A8" s="2" t="s">
        <v>93</v>
      </c>
      <c r="B8" s="2">
        <v>8.6890999999999998</v>
      </c>
      <c r="C8" s="2" t="s">
        <v>69</v>
      </c>
      <c r="D8" s="1" t="str">
        <f>IF(E8="GREET 2022 [natural]","","ERROR - check row order of Notion export")</f>
        <v/>
      </c>
      <c r="E8" s="3" t="str">
        <f>IF(ISBLANK('[1]Graphite Qualified Studies'!A7),"",'[1]Graphite Qualified Studies'!A7)</f>
        <v>GREET 2022 [natural]</v>
      </c>
      <c r="F8" s="3" t="str">
        <f>IF(ISBLANK('[1]Graphite Qualified Studies'!B7),"",'[1]Graphite Qualified Studies'!B7)</f>
        <v>natural pathway</v>
      </c>
      <c r="G8" s="3" t="str">
        <f>IF(ISBLANK('[1]Graphite Qualified Studies'!C7),"",'[1]Graphite Qualified Studies'!C7)</f>
        <v>https://greet.anl.gov/</v>
      </c>
      <c r="H8" s="3" t="str">
        <f>IF(ISBLANK('[1]Graphite Qualified Studies'!D7),"",'[1]Graphite Qualified Studies'!D7)</f>
        <v>Database</v>
      </c>
      <c r="I8" s="3" t="str">
        <f>IF(ISBLANK('[1]Graphite Qualified Studies'!E7),"",'[1]Graphite Qualified Studies'!E7)</f>
        <v>8.6891 kg CO2eq/kg natural graphite</v>
      </c>
      <c r="J8" s="3" t="str">
        <f>IF(ISBLANK('[1]Graphite Qualified Studies'!F7),"",'[1]Graphite Qualified Studies'!F7)</f>
        <v>8.6891 kgCO2-eq/kg_G</v>
      </c>
      <c r="K8" s="3" t="str">
        <f>IF(ISBLANK('[1]Graphite Qualified Studies'!G7),"",'[1]Graphite Qualified Studies'!G7)</f>
        <v/>
      </c>
      <c r="L8" s="3" t="str">
        <f>IF(ISBLANK('[1]Graphite Qualified Studies'!H7),"",'[1]Graphite Qualified Studies'!H7)</f>
        <v>1 ton of coated spherical natural graphite</v>
      </c>
      <c r="M8" s="3" t="str">
        <f>IF(ISBLANK('[1]Graphite Qualified Studies'!I7),"",'[1]Graphite Qualified Studies'!I7)</f>
        <v/>
      </c>
      <c r="N8" s="3" t="str">
        <f>IF(ISBLANK('[1]Graphite Qualified Studies'!J7),"",'[1]Graphite Qualified Studies'!J7)</f>
        <v/>
      </c>
      <c r="O8" s="3" t="str">
        <f>IF(ISBLANK('[1]Graphite Qualified Studies'!K7),"",'[1]Graphite Qualified Studies'!K7)</f>
        <v>Natural graphite</v>
      </c>
      <c r="P8" s="4" t="b">
        <v>1</v>
      </c>
      <c r="Q8" s="4"/>
      <c r="S8" s="3" t="str">
        <f>IF(ISBLANK('[1]Graphite Peripheral Studies'!A7),"",'[1]Graphite Peripheral Studies'!A7)</f>
        <v>Dunn et al (2015)</v>
      </c>
      <c r="T8" s="3" t="str">
        <f>IF(ISBLANK('[1]Graphite Peripheral Studies'!B7),"",'[1]Graphite Peripheral Studies'!B7)</f>
        <v>Material and Energy Flows in the Production of Cathode and Anode Materials for Lithium Ion Batteries</v>
      </c>
      <c r="U8" s="3" t="str">
        <f>IF(ISBLANK('[1]Graphite Peripheral Studies'!C7),"",'[1]Graphite Peripheral Studies'!C7)</f>
        <v>https://doi.org/10.2172/1224963</v>
      </c>
      <c r="V8" s="3" t="str">
        <f>IF(ISBLANK('[1]Graphite Peripheral Studies'!D7),"",'[1]Graphite Peripheral Studies'!D7)</f>
        <v>Report</v>
      </c>
      <c r="W8" s="3" t="str">
        <f>IF(ISBLANK('[1]Graphite Peripheral Studies'!E7),"",'[1]Graphite Peripheral Studies'!E7)</f>
        <v>ca. 2.47
(see calculations Excel MA Schatzmann, 2023)</v>
      </c>
      <c r="X8" s="3" t="str">
        <f>IF(ISBLANK('[1]Graphite Peripheral Studies'!F7),"",'[1]Graphite Peripheral Studies'!F7)</f>
        <v>no</v>
      </c>
      <c r="Y8" s="3" t="str">
        <f>IF(ISBLANK('[1]Graphite Peripheral Studies'!G7),"",'[1]Graphite Peripheral Studies'!G7)</f>
        <v>1 kg of synthetic graphite</v>
      </c>
      <c r="Z8" s="3" t="str">
        <f>IF(ISBLANK('[1]Graphite Peripheral Studies'!H7),"",'[1]Graphite Peripheral Studies'!H7)</f>
        <v>see screenshot in notes</v>
      </c>
      <c r="AA8" s="3" t="str">
        <f>IF(ISBLANK('[1]Graphite Peripheral Studies'!I7),"",'[1]Graphite Peripheral Studies'!I7)</f>
        <v>+ transparent, ++ transparent</v>
      </c>
      <c r="AB8" s="3" t="str">
        <f>IF(ISBLANK('[1]Graphite Peripheral Studies'!J7),"",'[1]Graphite Peripheral Studies'!J7)</f>
        <v>Synthetic graphite</v>
      </c>
      <c r="AC8" s="1" t="s">
        <v>35</v>
      </c>
    </row>
    <row r="9" spans="1:29" x14ac:dyDescent="0.3">
      <c r="A9" s="2" t="s">
        <v>94</v>
      </c>
      <c r="B9" s="2">
        <v>1.5952</v>
      </c>
      <c r="C9" s="2" t="s">
        <v>69</v>
      </c>
      <c r="D9" s="1" t="str">
        <f>IF(E9="Ecoinvent Version 3.9.1","","ERROR - check row order of Notion export")</f>
        <v/>
      </c>
      <c r="E9" s="3" t="str">
        <f>IF(ISBLANK('[1]Graphite Qualified Studies'!A8),"",'[1]Graphite Qualified Studies'!A8)</f>
        <v>Ecoinvent Version 3.9.1</v>
      </c>
      <c r="F9" s="3" t="str">
        <f>IF(ISBLANK('[1]Graphite Qualified Studies'!B8),"",'[1]Graphite Qualified Studies'!B8)</f>
        <v>Rest of World</v>
      </c>
      <c r="G9" s="3" t="str">
        <f>IF(ISBLANK('[1]Graphite Qualified Studies'!C8),"",'[1]Graphite Qualified Studies'!C8)</f>
        <v>https://ecoquery.ecoinvent.org/3.9.1/cutoff/dataset/8671/impact_assessment</v>
      </c>
      <c r="H9" s="3" t="str">
        <f>IF(ISBLANK('[1]Graphite Qualified Studies'!D8),"",'[1]Graphite Qualified Studies'!D8)</f>
        <v>Database</v>
      </c>
      <c r="I9" s="3" t="str">
        <f>IF(ISBLANK('[1]Graphite Qualified Studies'!E8),"",'[1]Graphite Qualified Studies'!E8)</f>
        <v>1.5952 kg CO2-Eq / kg Graphite</v>
      </c>
      <c r="J9" s="3" t="str">
        <f>IF(ISBLANK('[1]Graphite Qualified Studies'!F8),"",'[1]Graphite Qualified Studies'!F8)</f>
        <v>1.5952 kgCO2-eq/kg_G</v>
      </c>
      <c r="K9" s="3" t="str">
        <f>IF(ISBLANK('[1]Graphite Qualified Studies'!G8),"",'[1]Graphite Qualified Studies'!G8)</f>
        <v/>
      </c>
      <c r="L9" s="3" t="str">
        <f>IF(ISBLANK('[1]Graphite Qualified Studies'!H8),"",'[1]Graphite Qualified Studies'!H8)</f>
        <v>1 kg of Graphite, Battery Grade</v>
      </c>
      <c r="M9" s="3" t="str">
        <f>IF(ISBLANK('[1]Graphite Qualified Studies'!I8),"",'[1]Graphite Qualified Studies'!I8)</f>
        <v/>
      </c>
      <c r="N9" s="3" t="str">
        <f>IF(ISBLANK('[1]Graphite Qualified Studies'!J8),"",'[1]Graphite Qualified Studies'!J8)</f>
        <v/>
      </c>
      <c r="O9" s="3" t="str">
        <f>IF(ISBLANK('[1]Graphite Qualified Studies'!K8),"",'[1]Graphite Qualified Studies'!K8)</f>
        <v>Natural graphite</v>
      </c>
      <c r="P9" s="4" t="b">
        <v>1</v>
      </c>
      <c r="Q9" s="4"/>
      <c r="S9" s="3" t="str">
        <f>IF(ISBLANK('[1]Graphite Peripheral Studies'!A8),"",'[1]Graphite Peripheral Studies'!A8)</f>
        <v>Zhang et al (2018)</v>
      </c>
      <c r="T9" s="3" t="str">
        <f>IF(ISBLANK('[1]Graphite Peripheral Studies'!B8),"",'[1]Graphite Peripheral Studies'!B8)</f>
        <v>Environment Impact Analysis of Natural Graphite Anode Material Production</v>
      </c>
      <c r="U9" s="3" t="str">
        <f>IF(ISBLANK('[1]Graphite Peripheral Studies'!C8),"",'[1]Graphite Peripheral Studies'!C8)</f>
        <v>https://www.proquest.com/openview/7834d71a20a3cf153916c4eab5f4e926/1?pq-origsite=gscholar&amp;cbl=2040939</v>
      </c>
      <c r="V9" s="3" t="str">
        <f>IF(ISBLANK('[1]Graphite Peripheral Studies'!D8),"",'[1]Graphite Peripheral Studies'!D8)</f>
        <v>Literature</v>
      </c>
      <c r="W9" s="3" t="str">
        <f>IF(ISBLANK('[1]Graphite Peripheral Studies'!E8),"",'[1]Graphite Peripheral Studies'!E8)</f>
        <v>7.8 kgCO2-eq/kg (extracted with tool from fig. 2)</v>
      </c>
      <c r="X9" s="3" t="str">
        <f>IF(ISBLANK('[1]Graphite Peripheral Studies'!F8),"",'[1]Graphite Peripheral Studies'!F8)</f>
        <v>maybe?
”The data of this study mainly come from the published literatures and the production process investigations of Chinese representative graphite enterprises”</v>
      </c>
      <c r="Y9" s="3" t="str">
        <f>IF(ISBLANK('[1]Graphite Peripheral Studies'!G8),"",'[1]Graphite Peripheral Studies'!G8)</f>
        <v>1 kg of natural graphite anode material</v>
      </c>
      <c r="Z9" s="3" t="str">
        <f>IF(ISBLANK('[1]Graphite Peripheral Studies'!H8),"",'[1]Graphite Peripheral Studies'!H8)</f>
        <v>see screenshot</v>
      </c>
      <c r="AA9" s="3" t="str">
        <f>IF(ISBLANK('[1]Graphite Peripheral Studies'!I8),"",'[1]Graphite Peripheral Studies'!I8)</f>
        <v>+ transparent, - intransparent</v>
      </c>
      <c r="AB9" s="3" t="str">
        <f>IF(ISBLANK('[1]Graphite Peripheral Studies'!J8),"",'[1]Graphite Peripheral Studies'!J8)</f>
        <v>Natural graphite</v>
      </c>
      <c r="AC9" s="1" t="s">
        <v>35</v>
      </c>
    </row>
    <row r="10" spans="1:29" x14ac:dyDescent="0.3">
      <c r="A10" s="2" t="s">
        <v>95</v>
      </c>
      <c r="B10" s="2">
        <v>1.9638</v>
      </c>
      <c r="C10" s="2" t="s">
        <v>69</v>
      </c>
      <c r="D10" s="1" t="str">
        <f>IF(E10="Ecoinvent Version 3.9.1","","ERROR - check row order of Notion export")</f>
        <v/>
      </c>
      <c r="E10" s="3" t="str">
        <f>IF(ISBLANK('[1]Graphite Qualified Studies'!A9),"",'[1]Graphite Qualified Studies'!A9)</f>
        <v>Ecoinvent Version 3.9.1</v>
      </c>
      <c r="F10" s="3" t="str">
        <f>IF(ISBLANK('[1]Graphite Qualified Studies'!B9),"",'[1]Graphite Qualified Studies'!B9)</f>
        <v>China</v>
      </c>
      <c r="G10" s="3" t="str">
        <f>IF(ISBLANK('[1]Graphite Qualified Studies'!C9),"",'[1]Graphite Qualified Studies'!C9)</f>
        <v>https://ecoquery.ecoinvent.org/3.9.1/cutoff/dataset/3576/impact_assessment</v>
      </c>
      <c r="H10" s="3" t="str">
        <f>IF(ISBLANK('[1]Graphite Qualified Studies'!D9),"",'[1]Graphite Qualified Studies'!D9)</f>
        <v>Database</v>
      </c>
      <c r="I10" s="3" t="str">
        <f>IF(ISBLANK('[1]Graphite Qualified Studies'!E9),"",'[1]Graphite Qualified Studies'!E9)</f>
        <v>1.9638 kg CO2-Eq / kg Graphite</v>
      </c>
      <c r="J10" s="3" t="str">
        <f>IF(ISBLANK('[1]Graphite Qualified Studies'!F9),"",'[1]Graphite Qualified Studies'!F9)</f>
        <v>1.9638 kgCO2-eq/kg_G</v>
      </c>
      <c r="K10" s="3" t="str">
        <f>IF(ISBLANK('[1]Graphite Qualified Studies'!G9),"",'[1]Graphite Qualified Studies'!G9)</f>
        <v/>
      </c>
      <c r="L10" s="3" t="str">
        <f>IF(ISBLANK('[1]Graphite Qualified Studies'!H9),"",'[1]Graphite Qualified Studies'!H9)</f>
        <v>1 kg of Graphite, Battery Grade</v>
      </c>
      <c r="M10" s="3" t="str">
        <f>IF(ISBLANK('[1]Graphite Qualified Studies'!I9),"",'[1]Graphite Qualified Studies'!I9)</f>
        <v/>
      </c>
      <c r="N10" s="3" t="str">
        <f>IF(ISBLANK('[1]Graphite Qualified Studies'!J9),"",'[1]Graphite Qualified Studies'!J9)</f>
        <v/>
      </c>
      <c r="O10" s="3" t="str">
        <f>IF(ISBLANK('[1]Graphite Qualified Studies'!K9),"",'[1]Graphite Qualified Studies'!K9)</f>
        <v>Natural graphite</v>
      </c>
      <c r="P10" s="4" t="b">
        <v>1</v>
      </c>
      <c r="Q10" s="4"/>
      <c r="S10" s="3" t="str">
        <f>IF(ISBLANK('[1]Graphite Peripheral Studies'!A9),"",'[1]Graphite Peripheral Studies'!A9)</f>
        <v/>
      </c>
      <c r="T10" s="3" t="str">
        <f>IF(ISBLANK('[1]Graphite Peripheral Studies'!B9),"",'[1]Graphite Peripheral Studies'!B9)</f>
        <v/>
      </c>
      <c r="U10" s="3" t="str">
        <f>IF(ISBLANK('[1]Graphite Peripheral Studies'!C9),"",'[1]Graphite Peripheral Studies'!C9)</f>
        <v/>
      </c>
      <c r="V10" s="3" t="str">
        <f>IF(ISBLANK('[1]Graphite Peripheral Studies'!D9),"",'[1]Graphite Peripheral Studies'!D9)</f>
        <v/>
      </c>
      <c r="W10" s="3" t="str">
        <f>IF(ISBLANK('[1]Graphite Peripheral Studies'!E9),"",'[1]Graphite Peripheral Studies'!E9)</f>
        <v/>
      </c>
      <c r="X10" s="3" t="str">
        <f>IF(ISBLANK('[1]Graphite Peripheral Studies'!F9),"",'[1]Graphite Peripheral Studies'!F9)</f>
        <v/>
      </c>
      <c r="Y10" s="3" t="str">
        <f>IF(ISBLANK('[1]Graphite Peripheral Studies'!G9),"",'[1]Graphite Peripheral Studies'!G9)</f>
        <v/>
      </c>
      <c r="Z10" s="3" t="str">
        <f>IF(ISBLANK('[1]Graphite Peripheral Studies'!H9),"",'[1]Graphite Peripheral Studies'!H9)</f>
        <v/>
      </c>
      <c r="AA10" s="3" t="str">
        <f>IF(ISBLANK('[1]Graphite Peripheral Studies'!I9),"",'[1]Graphite Peripheral Studies'!I9)</f>
        <v/>
      </c>
      <c r="AB10" s="3" t="str">
        <f>IF(ISBLANK('[1]Graphite Peripheral Studies'!J9),"",'[1]Graphite Peripheral Studies'!J9)</f>
        <v/>
      </c>
      <c r="AC10" s="1" t="s">
        <v>35</v>
      </c>
    </row>
    <row r="11" spans="1:29" x14ac:dyDescent="0.3">
      <c r="A11" s="2" t="s">
        <v>96</v>
      </c>
      <c r="B11" s="2">
        <v>5.3848000000000003</v>
      </c>
      <c r="C11" s="2" t="s">
        <v>69</v>
      </c>
      <c r="D11" s="1" t="str">
        <f>IF(E11="Ecoinvent Version 3.9.1","","ERROR - check row order of Notion export")</f>
        <v/>
      </c>
      <c r="E11" s="3" t="str">
        <f>IF(ISBLANK('[1]Graphite Qualified Studies'!A10),"",'[1]Graphite Qualified Studies'!A10)</f>
        <v>Ecoinvent Version 3.9.1</v>
      </c>
      <c r="F11" s="3" t="str">
        <f>IF(ISBLANK('[1]Graphite Qualified Studies'!B10),"",'[1]Graphite Qualified Studies'!B10)</f>
        <v>China</v>
      </c>
      <c r="G11" s="3" t="str">
        <f>IF(ISBLANK('[1]Graphite Qualified Studies'!C10),"",'[1]Graphite Qualified Studies'!C10)</f>
        <v>https://ecoquery.ecoinvent.org/3.9.1/cutoff/dataset/24786/impact_assessment</v>
      </c>
      <c r="H11" s="3" t="str">
        <f>IF(ISBLANK('[1]Graphite Qualified Studies'!D10),"",'[1]Graphite Qualified Studies'!D10)</f>
        <v>Database</v>
      </c>
      <c r="I11" s="3" t="str">
        <f>IF(ISBLANK('[1]Graphite Qualified Studies'!E10),"",'[1]Graphite Qualified Studies'!E10)</f>
        <v>5.3848 kg CO2-Eq / kg Synthetic Graphite</v>
      </c>
      <c r="J11" s="3" t="str">
        <f>IF(ISBLANK('[1]Graphite Qualified Studies'!F10),"",'[1]Graphite Qualified Studies'!F10)</f>
        <v>5.3848 kgCO2-eq/kg_G</v>
      </c>
      <c r="K11" s="3" t="str">
        <f>IF(ISBLANK('[1]Graphite Qualified Studies'!G10),"",'[1]Graphite Qualified Studies'!G10)</f>
        <v/>
      </c>
      <c r="L11" s="3" t="str">
        <f>IF(ISBLANK('[1]Graphite Qualified Studies'!H10),"",'[1]Graphite Qualified Studies'!H10)</f>
        <v>1 kg of Synthetic Graphite, Battery Grade</v>
      </c>
      <c r="M11" s="3" t="str">
        <f>IF(ISBLANK('[1]Graphite Qualified Studies'!I10),"",'[1]Graphite Qualified Studies'!I10)</f>
        <v/>
      </c>
      <c r="N11" s="3" t="str">
        <f>IF(ISBLANK('[1]Graphite Qualified Studies'!J10),"",'[1]Graphite Qualified Studies'!J10)</f>
        <v/>
      </c>
      <c r="O11" s="3" t="str">
        <f>IF(ISBLANK('[1]Graphite Qualified Studies'!K10),"",'[1]Graphite Qualified Studies'!K10)</f>
        <v>Synthetic graphite</v>
      </c>
      <c r="P11" s="4" t="b">
        <v>1</v>
      </c>
      <c r="Q11" s="4"/>
      <c r="S11" s="3" t="str">
        <f>IF(ISBLANK('[1]Graphite Peripheral Studies'!A10),"",'[1]Graphite Peripheral Studies'!A10)</f>
        <v/>
      </c>
      <c r="T11" s="3" t="str">
        <f>IF(ISBLANK('[1]Graphite Peripheral Studies'!B10),"",'[1]Graphite Peripheral Studies'!B10)</f>
        <v/>
      </c>
      <c r="U11" s="3" t="str">
        <f>IF(ISBLANK('[1]Graphite Peripheral Studies'!C10),"",'[1]Graphite Peripheral Studies'!C10)</f>
        <v/>
      </c>
      <c r="V11" s="3" t="str">
        <f>IF(ISBLANK('[1]Graphite Peripheral Studies'!D10),"",'[1]Graphite Peripheral Studies'!D10)</f>
        <v/>
      </c>
      <c r="W11" s="3" t="str">
        <f>IF(ISBLANK('[1]Graphite Peripheral Studies'!E10),"",'[1]Graphite Peripheral Studies'!E10)</f>
        <v/>
      </c>
      <c r="X11" s="3" t="str">
        <f>IF(ISBLANK('[1]Graphite Peripheral Studies'!F10),"",'[1]Graphite Peripheral Studies'!F10)</f>
        <v/>
      </c>
      <c r="Y11" s="3" t="str">
        <f>IF(ISBLANK('[1]Graphite Peripheral Studies'!G10),"",'[1]Graphite Peripheral Studies'!G10)</f>
        <v/>
      </c>
      <c r="Z11" s="3" t="str">
        <f>IF(ISBLANK('[1]Graphite Peripheral Studies'!H10),"",'[1]Graphite Peripheral Studies'!H10)</f>
        <v/>
      </c>
      <c r="AA11" s="3" t="str">
        <f>IF(ISBLANK('[1]Graphite Peripheral Studies'!I10),"",'[1]Graphite Peripheral Studies'!I10)</f>
        <v/>
      </c>
      <c r="AB11" s="3" t="str">
        <f>IF(ISBLANK('[1]Graphite Peripheral Studies'!J10),"",'[1]Graphite Peripheral Studies'!J10)</f>
        <v/>
      </c>
      <c r="AC11" s="1" t="s">
        <v>35</v>
      </c>
    </row>
    <row r="12" spans="1:29" x14ac:dyDescent="0.3">
      <c r="A12" s="2" t="s">
        <v>97</v>
      </c>
      <c r="B12" s="2">
        <v>3.9554</v>
      </c>
      <c r="C12" s="2" t="s">
        <v>69</v>
      </c>
      <c r="D12" s="1" t="str">
        <f>IF(E12="Ecoinvent Version 3.9.1","","ERROR - check row order of Notion export")</f>
        <v/>
      </c>
      <c r="E12" s="3" t="str">
        <f>IF(ISBLANK('[1]Graphite Qualified Studies'!A11),"",'[1]Graphite Qualified Studies'!A11)</f>
        <v>Ecoinvent Version 3.9.1</v>
      </c>
      <c r="F12" s="3" t="str">
        <f>IF(ISBLANK('[1]Graphite Qualified Studies'!B11),"",'[1]Graphite Qualified Studies'!B11)</f>
        <v>Rest of World</v>
      </c>
      <c r="G12" s="3" t="str">
        <f>IF(ISBLANK('[1]Graphite Qualified Studies'!C11),"",'[1]Graphite Qualified Studies'!C11)</f>
        <v>https://ecoquery.ecoinvent.org/3.9.1/cutoff/dataset/25146/impact_assessment</v>
      </c>
      <c r="H12" s="3" t="str">
        <f>IF(ISBLANK('[1]Graphite Qualified Studies'!D11),"",'[1]Graphite Qualified Studies'!D11)</f>
        <v>Database</v>
      </c>
      <c r="I12" s="3" t="str">
        <f>IF(ISBLANK('[1]Graphite Qualified Studies'!E11),"",'[1]Graphite Qualified Studies'!E11)</f>
        <v>3.9554 kg CO2-Eq / kg Synthetic Graphite</v>
      </c>
      <c r="J12" s="3" t="str">
        <f>IF(ISBLANK('[1]Graphite Qualified Studies'!F11),"",'[1]Graphite Qualified Studies'!F11)</f>
        <v>3.9554 kgCO2-eq/kg_G</v>
      </c>
      <c r="K12" s="3" t="str">
        <f>IF(ISBLANK('[1]Graphite Qualified Studies'!G11),"",'[1]Graphite Qualified Studies'!G11)</f>
        <v/>
      </c>
      <c r="L12" s="3" t="str">
        <f>IF(ISBLANK('[1]Graphite Qualified Studies'!H11),"",'[1]Graphite Qualified Studies'!H11)</f>
        <v>1 kg f Synthetic Graphite, Battery Grade</v>
      </c>
      <c r="M12" s="3" t="str">
        <f>IF(ISBLANK('[1]Graphite Qualified Studies'!I11),"",'[1]Graphite Qualified Studies'!I11)</f>
        <v/>
      </c>
      <c r="N12" s="3" t="str">
        <f>IF(ISBLANK('[1]Graphite Qualified Studies'!J11),"",'[1]Graphite Qualified Studies'!J11)</f>
        <v/>
      </c>
      <c r="O12" s="3" t="str">
        <f>IF(ISBLANK('[1]Graphite Qualified Studies'!K11),"",'[1]Graphite Qualified Studies'!K11)</f>
        <v>Synthetic graphite</v>
      </c>
      <c r="P12" s="4" t="b">
        <v>1</v>
      </c>
      <c r="Q12" s="4"/>
      <c r="S12" s="3" t="str">
        <f>IF(ISBLANK('[1]Graphite Peripheral Studies'!A11),"",'[1]Graphite Peripheral Studies'!A11)</f>
        <v/>
      </c>
      <c r="T12" s="3" t="str">
        <f>IF(ISBLANK('[1]Graphite Peripheral Studies'!B11),"",'[1]Graphite Peripheral Studies'!B11)</f>
        <v/>
      </c>
      <c r="U12" s="3" t="str">
        <f>IF(ISBLANK('[1]Graphite Peripheral Studies'!C11),"",'[1]Graphite Peripheral Studies'!C11)</f>
        <v/>
      </c>
      <c r="V12" s="3" t="str">
        <f>IF(ISBLANK('[1]Graphite Peripheral Studies'!D11),"",'[1]Graphite Peripheral Studies'!D11)</f>
        <v/>
      </c>
      <c r="W12" s="3" t="str">
        <f>IF(ISBLANK('[1]Graphite Peripheral Studies'!E11),"",'[1]Graphite Peripheral Studies'!E11)</f>
        <v/>
      </c>
      <c r="X12" s="3" t="str">
        <f>IF(ISBLANK('[1]Graphite Peripheral Studies'!F11),"",'[1]Graphite Peripheral Studies'!F11)</f>
        <v/>
      </c>
      <c r="Y12" s="3" t="str">
        <f>IF(ISBLANK('[1]Graphite Peripheral Studies'!G11),"",'[1]Graphite Peripheral Studies'!G11)</f>
        <v/>
      </c>
      <c r="Z12" s="3" t="str">
        <f>IF(ISBLANK('[1]Graphite Peripheral Studies'!H11),"",'[1]Graphite Peripheral Studies'!H11)</f>
        <v/>
      </c>
      <c r="AA12" s="3" t="str">
        <f>IF(ISBLANK('[1]Graphite Peripheral Studies'!I11),"",'[1]Graphite Peripheral Studies'!I11)</f>
        <v/>
      </c>
      <c r="AB12" s="3" t="str">
        <f>IF(ISBLANK('[1]Graphite Peripheral Studies'!J11),"",'[1]Graphite Peripheral Studies'!J11)</f>
        <v/>
      </c>
      <c r="AC12" s="1" t="s">
        <v>35</v>
      </c>
    </row>
    <row r="13" spans="1:29" x14ac:dyDescent="0.3">
      <c r="B13" s="30"/>
      <c r="D13" s="1" t="str">
        <f t="shared" ref="D13:D23" si="0">IF(E13="","","ERROR - check row order of Notion export")</f>
        <v/>
      </c>
      <c r="E13" s="3" t="str">
        <f>IF(ISBLANK('[1]Graphite Qualified Studies'!A12),"",'[1]Graphite Qualified Studies'!A12)</f>
        <v/>
      </c>
      <c r="F13" s="3" t="str">
        <f>IF(ISBLANK('[1]Graphite Qualified Studies'!B12),"",'[1]Graphite Qualified Studies'!B12)</f>
        <v/>
      </c>
      <c r="G13" s="3" t="str">
        <f>IF(ISBLANK('[1]Graphite Qualified Studies'!C12),"",'[1]Graphite Qualified Studies'!C12)</f>
        <v/>
      </c>
      <c r="H13" s="3" t="str">
        <f>IF(ISBLANK('[1]Graphite Qualified Studies'!D12),"",'[1]Graphite Qualified Studies'!D12)</f>
        <v/>
      </c>
      <c r="I13" s="3" t="str">
        <f>IF(ISBLANK('[1]Graphite Qualified Studies'!E12),"",'[1]Graphite Qualified Studies'!E12)</f>
        <v/>
      </c>
      <c r="J13" s="3" t="str">
        <f>IF(ISBLANK('[1]Graphite Qualified Studies'!F12),"",'[1]Graphite Qualified Studies'!F12)</f>
        <v/>
      </c>
      <c r="K13" s="3" t="str">
        <f>IF(ISBLANK('[1]Graphite Qualified Studies'!G12),"",'[1]Graphite Qualified Studies'!G12)</f>
        <v/>
      </c>
      <c r="L13" s="3" t="str">
        <f>IF(ISBLANK('[1]Graphite Qualified Studies'!H12),"",'[1]Graphite Qualified Studies'!H12)</f>
        <v/>
      </c>
      <c r="M13" s="3" t="str">
        <f>IF(ISBLANK('[1]Graphite Qualified Studies'!I12),"",'[1]Graphite Qualified Studies'!I12)</f>
        <v/>
      </c>
      <c r="N13" s="3" t="str">
        <f>IF(ISBLANK('[1]Graphite Qualified Studies'!J12),"",'[1]Graphite Qualified Studies'!J12)</f>
        <v/>
      </c>
      <c r="O13" s="3" t="str">
        <f>IF(ISBLANK('[1]Graphite Qualified Studies'!K12),"",'[1]Graphite Qualified Studies'!K12)</f>
        <v/>
      </c>
      <c r="P13" s="4"/>
      <c r="Q13" s="4"/>
      <c r="S13" s="3" t="str">
        <f>IF(ISBLANK('[1]Graphite Peripheral Studies'!A12),"",'[1]Graphite Peripheral Studies'!A12)</f>
        <v/>
      </c>
      <c r="T13" s="3" t="str">
        <f>IF(ISBLANK('[1]Graphite Peripheral Studies'!B12),"",'[1]Graphite Peripheral Studies'!B12)</f>
        <v/>
      </c>
      <c r="U13" s="3" t="str">
        <f>IF(ISBLANK('[1]Graphite Peripheral Studies'!C12),"",'[1]Graphite Peripheral Studies'!C12)</f>
        <v/>
      </c>
      <c r="V13" s="3" t="str">
        <f>IF(ISBLANK('[1]Graphite Peripheral Studies'!D12),"",'[1]Graphite Peripheral Studies'!D12)</f>
        <v/>
      </c>
      <c r="W13" s="3" t="str">
        <f>IF(ISBLANK('[1]Graphite Peripheral Studies'!E12),"",'[1]Graphite Peripheral Studies'!E12)</f>
        <v/>
      </c>
      <c r="X13" s="3" t="str">
        <f>IF(ISBLANK('[1]Graphite Peripheral Studies'!F12),"",'[1]Graphite Peripheral Studies'!F12)</f>
        <v/>
      </c>
      <c r="Y13" s="3" t="str">
        <f>IF(ISBLANK('[1]Graphite Peripheral Studies'!G12),"",'[1]Graphite Peripheral Studies'!G12)</f>
        <v/>
      </c>
      <c r="Z13" s="3" t="str">
        <f>IF(ISBLANK('[1]Graphite Peripheral Studies'!H12),"",'[1]Graphite Peripheral Studies'!H12)</f>
        <v/>
      </c>
      <c r="AA13" s="3" t="str">
        <f>IF(ISBLANK('[1]Graphite Peripheral Studies'!I12),"",'[1]Graphite Peripheral Studies'!I12)</f>
        <v/>
      </c>
      <c r="AB13" s="3" t="str">
        <f>IF(ISBLANK('[1]Graphite Peripheral Studies'!J12),"",'[1]Graphite Peripheral Studies'!J12)</f>
        <v/>
      </c>
      <c r="AC13" s="1" t="s">
        <v>35</v>
      </c>
    </row>
    <row r="14" spans="1:29" x14ac:dyDescent="0.3">
      <c r="D14" s="1" t="str">
        <f t="shared" si="0"/>
        <v/>
      </c>
      <c r="E14" s="3" t="str">
        <f>IF(ISBLANK('[1]Graphite Qualified Studies'!A13),"",'[1]Graphite Qualified Studies'!A13)</f>
        <v/>
      </c>
      <c r="F14" s="3" t="str">
        <f>IF(ISBLANK('[1]Graphite Qualified Studies'!B13),"",'[1]Graphite Qualified Studies'!B13)</f>
        <v/>
      </c>
      <c r="G14" s="3" t="str">
        <f>IF(ISBLANK('[1]Graphite Qualified Studies'!C13),"",'[1]Graphite Qualified Studies'!C13)</f>
        <v/>
      </c>
      <c r="H14" s="3" t="str">
        <f>IF(ISBLANK('[1]Graphite Qualified Studies'!D13),"",'[1]Graphite Qualified Studies'!D13)</f>
        <v/>
      </c>
      <c r="I14" s="3" t="str">
        <f>IF(ISBLANK('[1]Graphite Qualified Studies'!E13),"",'[1]Graphite Qualified Studies'!E13)</f>
        <v/>
      </c>
      <c r="J14" s="3" t="str">
        <f>IF(ISBLANK('[1]Graphite Qualified Studies'!F13),"",'[1]Graphite Qualified Studies'!F13)</f>
        <v/>
      </c>
      <c r="K14" s="3" t="str">
        <f>IF(ISBLANK('[1]Graphite Qualified Studies'!G13),"",'[1]Graphite Qualified Studies'!G13)</f>
        <v/>
      </c>
      <c r="L14" s="3" t="str">
        <f>IF(ISBLANK('[1]Graphite Qualified Studies'!H13),"",'[1]Graphite Qualified Studies'!H13)</f>
        <v/>
      </c>
      <c r="M14" s="3" t="str">
        <f>IF(ISBLANK('[1]Graphite Qualified Studies'!I13),"",'[1]Graphite Qualified Studies'!I13)</f>
        <v/>
      </c>
      <c r="N14" s="3" t="str">
        <f>IF(ISBLANK('[1]Graphite Qualified Studies'!J13),"",'[1]Graphite Qualified Studies'!J13)</f>
        <v/>
      </c>
      <c r="O14" s="3" t="str">
        <f>IF(ISBLANK('[1]Graphite Qualified Studies'!K13),"",'[1]Graphite Qualified Studies'!K13)</f>
        <v/>
      </c>
      <c r="P14" s="4"/>
      <c r="Q14" s="4"/>
      <c r="S14" s="3" t="str">
        <f>IF(ISBLANK('[1]Graphite Peripheral Studies'!A13),"",'[1]Graphite Peripheral Studies'!A13)</f>
        <v/>
      </c>
      <c r="T14" s="3" t="str">
        <f>IF(ISBLANK('[1]Graphite Peripheral Studies'!B13),"",'[1]Graphite Peripheral Studies'!B13)</f>
        <v/>
      </c>
      <c r="U14" s="3" t="str">
        <f>IF(ISBLANK('[1]Graphite Peripheral Studies'!C13),"",'[1]Graphite Peripheral Studies'!C13)</f>
        <v/>
      </c>
      <c r="V14" s="3" t="str">
        <f>IF(ISBLANK('[1]Graphite Peripheral Studies'!D13),"",'[1]Graphite Peripheral Studies'!D13)</f>
        <v/>
      </c>
      <c r="W14" s="3" t="str">
        <f>IF(ISBLANK('[1]Graphite Peripheral Studies'!E13),"",'[1]Graphite Peripheral Studies'!E13)</f>
        <v/>
      </c>
      <c r="X14" s="3" t="str">
        <f>IF(ISBLANK('[1]Graphite Peripheral Studies'!F13),"",'[1]Graphite Peripheral Studies'!F13)</f>
        <v/>
      </c>
      <c r="Y14" s="3" t="str">
        <f>IF(ISBLANK('[1]Graphite Peripheral Studies'!G13),"",'[1]Graphite Peripheral Studies'!G13)</f>
        <v/>
      </c>
      <c r="Z14" s="3" t="str">
        <f>IF(ISBLANK('[1]Graphite Peripheral Studies'!H13),"",'[1]Graphite Peripheral Studies'!H13)</f>
        <v/>
      </c>
      <c r="AA14" s="3" t="str">
        <f>IF(ISBLANK('[1]Graphite Peripheral Studies'!I13),"",'[1]Graphite Peripheral Studies'!I13)</f>
        <v/>
      </c>
      <c r="AB14" s="3" t="str">
        <f>IF(ISBLANK('[1]Graphite Peripheral Studies'!J13),"",'[1]Graphite Peripheral Studies'!J13)</f>
        <v/>
      </c>
      <c r="AC14" s="1" t="s">
        <v>35</v>
      </c>
    </row>
    <row r="15" spans="1:29" x14ac:dyDescent="0.3">
      <c r="D15" s="1" t="str">
        <f t="shared" si="0"/>
        <v/>
      </c>
      <c r="E15" s="3" t="str">
        <f>IF(ISBLANK('[1]Graphite Qualified Studies'!A14),"",'[1]Graphite Qualified Studies'!A14)</f>
        <v/>
      </c>
      <c r="F15" s="3" t="str">
        <f>IF(ISBLANK('[1]Graphite Qualified Studies'!B14),"",'[1]Graphite Qualified Studies'!B14)</f>
        <v/>
      </c>
      <c r="G15" s="3" t="str">
        <f>IF(ISBLANK('[1]Graphite Qualified Studies'!C14),"",'[1]Graphite Qualified Studies'!C14)</f>
        <v/>
      </c>
      <c r="H15" s="3" t="str">
        <f>IF(ISBLANK('[1]Graphite Qualified Studies'!D14),"",'[1]Graphite Qualified Studies'!D14)</f>
        <v/>
      </c>
      <c r="I15" s="3" t="str">
        <f>IF(ISBLANK('[1]Graphite Qualified Studies'!E14),"",'[1]Graphite Qualified Studies'!E14)</f>
        <v/>
      </c>
      <c r="J15" s="3" t="str">
        <f>IF(ISBLANK('[1]Graphite Qualified Studies'!F14),"",'[1]Graphite Qualified Studies'!F14)</f>
        <v/>
      </c>
      <c r="K15" s="3" t="str">
        <f>IF(ISBLANK('[1]Graphite Qualified Studies'!G14),"",'[1]Graphite Qualified Studies'!G14)</f>
        <v/>
      </c>
      <c r="L15" s="3" t="str">
        <f>IF(ISBLANK('[1]Graphite Qualified Studies'!H14),"",'[1]Graphite Qualified Studies'!H14)</f>
        <v/>
      </c>
      <c r="M15" s="3" t="str">
        <f>IF(ISBLANK('[1]Graphite Qualified Studies'!I14),"",'[1]Graphite Qualified Studies'!I14)</f>
        <v/>
      </c>
      <c r="N15" s="3" t="str">
        <f>IF(ISBLANK('[1]Graphite Qualified Studies'!J14),"",'[1]Graphite Qualified Studies'!J14)</f>
        <v/>
      </c>
      <c r="O15" s="3" t="str">
        <f>IF(ISBLANK('[1]Graphite Qualified Studies'!K14),"",'[1]Graphite Qualified Studies'!K14)</f>
        <v/>
      </c>
      <c r="P15" s="4"/>
      <c r="Q15" s="4"/>
      <c r="S15" s="3" t="str">
        <f>IF(ISBLANK('[1]Graphite Peripheral Studies'!A14),"",'[1]Graphite Peripheral Studies'!A14)</f>
        <v/>
      </c>
      <c r="T15" s="3" t="str">
        <f>IF(ISBLANK('[1]Graphite Peripheral Studies'!B14),"",'[1]Graphite Peripheral Studies'!B14)</f>
        <v/>
      </c>
      <c r="U15" s="3" t="str">
        <f>IF(ISBLANK('[1]Graphite Peripheral Studies'!C14),"",'[1]Graphite Peripheral Studies'!C14)</f>
        <v/>
      </c>
      <c r="V15" s="3" t="str">
        <f>IF(ISBLANK('[1]Graphite Peripheral Studies'!D14),"",'[1]Graphite Peripheral Studies'!D14)</f>
        <v/>
      </c>
      <c r="W15" s="3" t="str">
        <f>IF(ISBLANK('[1]Graphite Peripheral Studies'!E14),"",'[1]Graphite Peripheral Studies'!E14)</f>
        <v/>
      </c>
      <c r="X15" s="3" t="str">
        <f>IF(ISBLANK('[1]Graphite Peripheral Studies'!F14),"",'[1]Graphite Peripheral Studies'!F14)</f>
        <v/>
      </c>
      <c r="Y15" s="3" t="str">
        <f>IF(ISBLANK('[1]Graphite Peripheral Studies'!G14),"",'[1]Graphite Peripheral Studies'!G14)</f>
        <v/>
      </c>
      <c r="Z15" s="3" t="str">
        <f>IF(ISBLANK('[1]Graphite Peripheral Studies'!H14),"",'[1]Graphite Peripheral Studies'!H14)</f>
        <v/>
      </c>
      <c r="AA15" s="3" t="str">
        <f>IF(ISBLANK('[1]Graphite Peripheral Studies'!I14),"",'[1]Graphite Peripheral Studies'!I14)</f>
        <v/>
      </c>
      <c r="AB15" s="3" t="str">
        <f>IF(ISBLANK('[1]Graphite Peripheral Studies'!J14),"",'[1]Graphite Peripheral Studies'!J14)</f>
        <v/>
      </c>
      <c r="AC15" s="1" t="s">
        <v>35</v>
      </c>
    </row>
    <row r="16" spans="1:29" x14ac:dyDescent="0.3">
      <c r="D16" s="1" t="str">
        <f t="shared" si="0"/>
        <v/>
      </c>
      <c r="E16" s="3" t="str">
        <f>IF(ISBLANK('[1]Graphite Qualified Studies'!A15),"",'[1]Graphite Qualified Studies'!A15)</f>
        <v/>
      </c>
      <c r="F16" s="3" t="str">
        <f>IF(ISBLANK('[1]Graphite Qualified Studies'!B15),"",'[1]Graphite Qualified Studies'!B15)</f>
        <v/>
      </c>
      <c r="G16" s="3" t="str">
        <f>IF(ISBLANK('[1]Graphite Qualified Studies'!C15),"",'[1]Graphite Qualified Studies'!C15)</f>
        <v/>
      </c>
      <c r="H16" s="3" t="str">
        <f>IF(ISBLANK('[1]Graphite Qualified Studies'!D15),"",'[1]Graphite Qualified Studies'!D15)</f>
        <v/>
      </c>
      <c r="I16" s="3" t="str">
        <f>IF(ISBLANK('[1]Graphite Qualified Studies'!E15),"",'[1]Graphite Qualified Studies'!E15)</f>
        <v/>
      </c>
      <c r="J16" s="3" t="str">
        <f>IF(ISBLANK('[1]Graphite Qualified Studies'!F15),"",'[1]Graphite Qualified Studies'!F15)</f>
        <v/>
      </c>
      <c r="K16" s="3" t="str">
        <f>IF(ISBLANK('[1]Graphite Qualified Studies'!G15),"",'[1]Graphite Qualified Studies'!G15)</f>
        <v/>
      </c>
      <c r="L16" s="3" t="str">
        <f>IF(ISBLANK('[1]Graphite Qualified Studies'!H15),"",'[1]Graphite Qualified Studies'!H15)</f>
        <v/>
      </c>
      <c r="M16" s="3" t="str">
        <f>IF(ISBLANK('[1]Graphite Qualified Studies'!I15),"",'[1]Graphite Qualified Studies'!I15)</f>
        <v/>
      </c>
      <c r="N16" s="3" t="str">
        <f>IF(ISBLANK('[1]Graphite Qualified Studies'!J15),"",'[1]Graphite Qualified Studies'!J15)</f>
        <v/>
      </c>
      <c r="O16" s="3" t="str">
        <f>IF(ISBLANK('[1]Graphite Qualified Studies'!K15),"",'[1]Graphite Qualified Studies'!K15)</f>
        <v/>
      </c>
      <c r="P16" s="4"/>
      <c r="Q16" s="4"/>
      <c r="S16" s="3" t="str">
        <f>IF(ISBLANK('[1]Graphite Peripheral Studies'!A15),"",'[1]Graphite Peripheral Studies'!A15)</f>
        <v/>
      </c>
      <c r="T16" s="3" t="str">
        <f>IF(ISBLANK('[1]Graphite Peripheral Studies'!B15),"",'[1]Graphite Peripheral Studies'!B15)</f>
        <v/>
      </c>
      <c r="U16" s="3" t="str">
        <f>IF(ISBLANK('[1]Graphite Peripheral Studies'!C15),"",'[1]Graphite Peripheral Studies'!C15)</f>
        <v/>
      </c>
      <c r="V16" s="3" t="str">
        <f>IF(ISBLANK('[1]Graphite Peripheral Studies'!D15),"",'[1]Graphite Peripheral Studies'!D15)</f>
        <v/>
      </c>
      <c r="W16" s="3" t="str">
        <f>IF(ISBLANK('[1]Graphite Peripheral Studies'!E15),"",'[1]Graphite Peripheral Studies'!E15)</f>
        <v/>
      </c>
      <c r="X16" s="3" t="str">
        <f>IF(ISBLANK('[1]Graphite Peripheral Studies'!F15),"",'[1]Graphite Peripheral Studies'!F15)</f>
        <v/>
      </c>
      <c r="Y16" s="3" t="str">
        <f>IF(ISBLANK('[1]Graphite Peripheral Studies'!G15),"",'[1]Graphite Peripheral Studies'!G15)</f>
        <v/>
      </c>
      <c r="Z16" s="3" t="str">
        <f>IF(ISBLANK('[1]Graphite Peripheral Studies'!H15),"",'[1]Graphite Peripheral Studies'!H15)</f>
        <v/>
      </c>
      <c r="AA16" s="3" t="str">
        <f>IF(ISBLANK('[1]Graphite Peripheral Studies'!I15),"",'[1]Graphite Peripheral Studies'!I15)</f>
        <v/>
      </c>
      <c r="AB16" s="3" t="str">
        <f>IF(ISBLANK('[1]Graphite Peripheral Studies'!J15),"",'[1]Graphite Peripheral Studies'!J15)</f>
        <v/>
      </c>
      <c r="AC16" s="1" t="s">
        <v>35</v>
      </c>
    </row>
    <row r="17" spans="4:29" x14ac:dyDescent="0.3">
      <c r="D17" s="1" t="str">
        <f t="shared" si="0"/>
        <v/>
      </c>
      <c r="E17" s="3" t="str">
        <f>IF(ISBLANK('[1]Graphite Qualified Studies'!A16),"",'[1]Graphite Qualified Studies'!A16)</f>
        <v/>
      </c>
      <c r="F17" s="3" t="str">
        <f>IF(ISBLANK('[1]Graphite Qualified Studies'!B16),"",'[1]Graphite Qualified Studies'!B16)</f>
        <v/>
      </c>
      <c r="G17" s="3" t="str">
        <f>IF(ISBLANK('[1]Graphite Qualified Studies'!C16),"",'[1]Graphite Qualified Studies'!C16)</f>
        <v/>
      </c>
      <c r="H17" s="3" t="str">
        <f>IF(ISBLANK('[1]Graphite Qualified Studies'!D16),"",'[1]Graphite Qualified Studies'!D16)</f>
        <v/>
      </c>
      <c r="I17" s="3" t="str">
        <f>IF(ISBLANK('[1]Graphite Qualified Studies'!E16),"",'[1]Graphite Qualified Studies'!E16)</f>
        <v/>
      </c>
      <c r="J17" s="3" t="str">
        <f>IF(ISBLANK('[1]Graphite Qualified Studies'!F16),"",'[1]Graphite Qualified Studies'!F16)</f>
        <v/>
      </c>
      <c r="K17" s="3" t="str">
        <f>IF(ISBLANK('[1]Graphite Qualified Studies'!G16),"",'[1]Graphite Qualified Studies'!G16)</f>
        <v/>
      </c>
      <c r="L17" s="3" t="str">
        <f>IF(ISBLANK('[1]Graphite Qualified Studies'!H16),"",'[1]Graphite Qualified Studies'!H16)</f>
        <v/>
      </c>
      <c r="M17" s="3" t="str">
        <f>IF(ISBLANK('[1]Graphite Qualified Studies'!I16),"",'[1]Graphite Qualified Studies'!I16)</f>
        <v/>
      </c>
      <c r="N17" s="3" t="str">
        <f>IF(ISBLANK('[1]Graphite Qualified Studies'!J16),"",'[1]Graphite Qualified Studies'!J16)</f>
        <v/>
      </c>
      <c r="O17" s="3" t="str">
        <f>IF(ISBLANK('[1]Graphite Qualified Studies'!K16),"",'[1]Graphite Qualified Studies'!K16)</f>
        <v/>
      </c>
      <c r="P17" s="4"/>
      <c r="Q17" s="4"/>
      <c r="S17" s="3" t="str">
        <f>IF(ISBLANK('[1]Graphite Peripheral Studies'!A16),"",'[1]Graphite Peripheral Studies'!A16)</f>
        <v/>
      </c>
      <c r="T17" s="3" t="str">
        <f>IF(ISBLANK('[1]Graphite Peripheral Studies'!B16),"",'[1]Graphite Peripheral Studies'!B16)</f>
        <v/>
      </c>
      <c r="U17" s="3" t="str">
        <f>IF(ISBLANK('[1]Graphite Peripheral Studies'!C16),"",'[1]Graphite Peripheral Studies'!C16)</f>
        <v/>
      </c>
      <c r="V17" s="3" t="str">
        <f>IF(ISBLANK('[1]Graphite Peripheral Studies'!D16),"",'[1]Graphite Peripheral Studies'!D16)</f>
        <v/>
      </c>
      <c r="W17" s="3" t="str">
        <f>IF(ISBLANK('[1]Graphite Peripheral Studies'!E16),"",'[1]Graphite Peripheral Studies'!E16)</f>
        <v/>
      </c>
      <c r="X17" s="3" t="str">
        <f>IF(ISBLANK('[1]Graphite Peripheral Studies'!F16),"",'[1]Graphite Peripheral Studies'!F16)</f>
        <v/>
      </c>
      <c r="Y17" s="3" t="str">
        <f>IF(ISBLANK('[1]Graphite Peripheral Studies'!G16),"",'[1]Graphite Peripheral Studies'!G16)</f>
        <v/>
      </c>
      <c r="Z17" s="3" t="str">
        <f>IF(ISBLANK('[1]Graphite Peripheral Studies'!H16),"",'[1]Graphite Peripheral Studies'!H16)</f>
        <v/>
      </c>
      <c r="AA17" s="3" t="str">
        <f>IF(ISBLANK('[1]Graphite Peripheral Studies'!I16),"",'[1]Graphite Peripheral Studies'!I16)</f>
        <v/>
      </c>
      <c r="AB17" s="3" t="str">
        <f>IF(ISBLANK('[1]Graphite Peripheral Studies'!J16),"",'[1]Graphite Peripheral Studies'!J16)</f>
        <v/>
      </c>
      <c r="AC17" s="1" t="s">
        <v>35</v>
      </c>
    </row>
    <row r="18" spans="4:29" x14ac:dyDescent="0.3">
      <c r="D18" s="1" t="str">
        <f t="shared" si="0"/>
        <v/>
      </c>
      <c r="E18" s="3" t="str">
        <f>IF(ISBLANK('[1]Graphite Qualified Studies'!A17),"",'[1]Graphite Qualified Studies'!A17)</f>
        <v/>
      </c>
      <c r="F18" s="3" t="str">
        <f>IF(ISBLANK('[1]Graphite Qualified Studies'!B17),"",'[1]Graphite Qualified Studies'!B17)</f>
        <v/>
      </c>
      <c r="G18" s="3" t="str">
        <f>IF(ISBLANK('[1]Graphite Qualified Studies'!C17),"",'[1]Graphite Qualified Studies'!C17)</f>
        <v/>
      </c>
      <c r="H18" s="3" t="str">
        <f>IF(ISBLANK('[1]Graphite Qualified Studies'!D17),"",'[1]Graphite Qualified Studies'!D17)</f>
        <v/>
      </c>
      <c r="I18" s="3" t="str">
        <f>IF(ISBLANK('[1]Graphite Qualified Studies'!E17),"",'[1]Graphite Qualified Studies'!E17)</f>
        <v/>
      </c>
      <c r="J18" s="3" t="str">
        <f>IF(ISBLANK('[1]Graphite Qualified Studies'!F17),"",'[1]Graphite Qualified Studies'!F17)</f>
        <v/>
      </c>
      <c r="K18" s="3" t="str">
        <f>IF(ISBLANK('[1]Graphite Qualified Studies'!G17),"",'[1]Graphite Qualified Studies'!G17)</f>
        <v/>
      </c>
      <c r="L18" s="3" t="str">
        <f>IF(ISBLANK('[1]Graphite Qualified Studies'!H17),"",'[1]Graphite Qualified Studies'!H17)</f>
        <v/>
      </c>
      <c r="M18" s="3" t="str">
        <f>IF(ISBLANK('[1]Graphite Qualified Studies'!I17),"",'[1]Graphite Qualified Studies'!I17)</f>
        <v/>
      </c>
      <c r="N18" s="3" t="str">
        <f>IF(ISBLANK('[1]Graphite Qualified Studies'!J17),"",'[1]Graphite Qualified Studies'!J17)</f>
        <v/>
      </c>
      <c r="O18" s="3" t="str">
        <f>IF(ISBLANK('[1]Graphite Qualified Studies'!K17),"",'[1]Graphite Qualified Studies'!K17)</f>
        <v/>
      </c>
      <c r="P18" s="4"/>
      <c r="Q18" s="4"/>
      <c r="S18" s="3" t="str">
        <f>IF(ISBLANK('[1]Graphite Peripheral Studies'!A17),"",'[1]Graphite Peripheral Studies'!A17)</f>
        <v/>
      </c>
      <c r="T18" s="3" t="str">
        <f>IF(ISBLANK('[1]Graphite Peripheral Studies'!B17),"",'[1]Graphite Peripheral Studies'!B17)</f>
        <v/>
      </c>
      <c r="U18" s="3" t="str">
        <f>IF(ISBLANK('[1]Graphite Peripheral Studies'!C17),"",'[1]Graphite Peripheral Studies'!C17)</f>
        <v/>
      </c>
      <c r="V18" s="3" t="str">
        <f>IF(ISBLANK('[1]Graphite Peripheral Studies'!D17),"",'[1]Graphite Peripheral Studies'!D17)</f>
        <v/>
      </c>
      <c r="W18" s="3" t="str">
        <f>IF(ISBLANK('[1]Graphite Peripheral Studies'!E17),"",'[1]Graphite Peripheral Studies'!E17)</f>
        <v/>
      </c>
      <c r="X18" s="3" t="str">
        <f>IF(ISBLANK('[1]Graphite Peripheral Studies'!F17),"",'[1]Graphite Peripheral Studies'!F17)</f>
        <v/>
      </c>
      <c r="Y18" s="3" t="str">
        <f>IF(ISBLANK('[1]Graphite Peripheral Studies'!G17),"",'[1]Graphite Peripheral Studies'!G17)</f>
        <v/>
      </c>
      <c r="Z18" s="3" t="str">
        <f>IF(ISBLANK('[1]Graphite Peripheral Studies'!H17),"",'[1]Graphite Peripheral Studies'!H17)</f>
        <v/>
      </c>
      <c r="AA18" s="3" t="str">
        <f>IF(ISBLANK('[1]Graphite Peripheral Studies'!I17),"",'[1]Graphite Peripheral Studies'!I17)</f>
        <v/>
      </c>
      <c r="AB18" s="3" t="str">
        <f>IF(ISBLANK('[1]Graphite Peripheral Studies'!J17),"",'[1]Graphite Peripheral Studies'!J17)</f>
        <v/>
      </c>
      <c r="AC18" s="1" t="s">
        <v>35</v>
      </c>
    </row>
    <row r="19" spans="4:29" x14ac:dyDescent="0.3">
      <c r="D19" s="1" t="str">
        <f t="shared" si="0"/>
        <v/>
      </c>
      <c r="E19" s="3" t="str">
        <f>IF(ISBLANK('[1]Graphite Qualified Studies'!A18),"",'[1]Graphite Qualified Studies'!A18)</f>
        <v/>
      </c>
      <c r="F19" s="3" t="str">
        <f>IF(ISBLANK('[1]Graphite Qualified Studies'!B18),"",'[1]Graphite Qualified Studies'!B18)</f>
        <v/>
      </c>
      <c r="G19" s="3" t="str">
        <f>IF(ISBLANK('[1]Graphite Qualified Studies'!C18),"",'[1]Graphite Qualified Studies'!C18)</f>
        <v/>
      </c>
      <c r="H19" s="3" t="str">
        <f>IF(ISBLANK('[1]Graphite Qualified Studies'!D18),"",'[1]Graphite Qualified Studies'!D18)</f>
        <v/>
      </c>
      <c r="I19" s="3" t="str">
        <f>IF(ISBLANK('[1]Graphite Qualified Studies'!E18),"",'[1]Graphite Qualified Studies'!E18)</f>
        <v/>
      </c>
      <c r="J19" s="3" t="str">
        <f>IF(ISBLANK('[1]Graphite Qualified Studies'!F18),"",'[1]Graphite Qualified Studies'!F18)</f>
        <v/>
      </c>
      <c r="K19" s="3" t="str">
        <f>IF(ISBLANK('[1]Graphite Qualified Studies'!G18),"",'[1]Graphite Qualified Studies'!G18)</f>
        <v/>
      </c>
      <c r="L19" s="3" t="str">
        <f>IF(ISBLANK('[1]Graphite Qualified Studies'!H18),"",'[1]Graphite Qualified Studies'!H18)</f>
        <v/>
      </c>
      <c r="M19" s="3" t="str">
        <f>IF(ISBLANK('[1]Graphite Qualified Studies'!I18),"",'[1]Graphite Qualified Studies'!I18)</f>
        <v/>
      </c>
      <c r="N19" s="3" t="str">
        <f>IF(ISBLANK('[1]Graphite Qualified Studies'!J18),"",'[1]Graphite Qualified Studies'!J18)</f>
        <v/>
      </c>
      <c r="O19" s="3" t="str">
        <f>IF(ISBLANK('[1]Graphite Qualified Studies'!K18),"",'[1]Graphite Qualified Studies'!K18)</f>
        <v/>
      </c>
      <c r="P19" s="4"/>
      <c r="Q19" s="4"/>
      <c r="S19" s="3" t="str">
        <f>IF(ISBLANK('[1]Graphite Peripheral Studies'!A18),"",'[1]Graphite Peripheral Studies'!A18)</f>
        <v/>
      </c>
      <c r="T19" s="3" t="str">
        <f>IF(ISBLANK('[1]Graphite Peripheral Studies'!B18),"",'[1]Graphite Peripheral Studies'!B18)</f>
        <v/>
      </c>
      <c r="U19" s="3" t="str">
        <f>IF(ISBLANK('[1]Graphite Peripheral Studies'!C18),"",'[1]Graphite Peripheral Studies'!C18)</f>
        <v/>
      </c>
      <c r="V19" s="3" t="str">
        <f>IF(ISBLANK('[1]Graphite Peripheral Studies'!D18),"",'[1]Graphite Peripheral Studies'!D18)</f>
        <v/>
      </c>
      <c r="W19" s="3" t="str">
        <f>IF(ISBLANK('[1]Graphite Peripheral Studies'!E18),"",'[1]Graphite Peripheral Studies'!E18)</f>
        <v/>
      </c>
      <c r="X19" s="3" t="str">
        <f>IF(ISBLANK('[1]Graphite Peripheral Studies'!F18),"",'[1]Graphite Peripheral Studies'!F18)</f>
        <v/>
      </c>
      <c r="Y19" s="3" t="str">
        <f>IF(ISBLANK('[1]Graphite Peripheral Studies'!G18),"",'[1]Graphite Peripheral Studies'!G18)</f>
        <v/>
      </c>
      <c r="Z19" s="3" t="str">
        <f>IF(ISBLANK('[1]Graphite Peripheral Studies'!H18),"",'[1]Graphite Peripheral Studies'!H18)</f>
        <v/>
      </c>
      <c r="AA19" s="3" t="str">
        <f>IF(ISBLANK('[1]Graphite Peripheral Studies'!I18),"",'[1]Graphite Peripheral Studies'!I18)</f>
        <v/>
      </c>
      <c r="AB19" s="3" t="str">
        <f>IF(ISBLANK('[1]Graphite Peripheral Studies'!J18),"",'[1]Graphite Peripheral Studies'!J18)</f>
        <v/>
      </c>
      <c r="AC19" s="1" t="s">
        <v>35</v>
      </c>
    </row>
    <row r="20" spans="4:29" x14ac:dyDescent="0.3">
      <c r="D20" s="1" t="str">
        <f t="shared" si="0"/>
        <v/>
      </c>
      <c r="E20" s="3" t="str">
        <f>IF(ISBLANK('[1]Graphite Qualified Studies'!A19),"",'[1]Graphite Qualified Studies'!A19)</f>
        <v/>
      </c>
      <c r="F20" s="3" t="str">
        <f>IF(ISBLANK('[1]Graphite Qualified Studies'!B19),"",'[1]Graphite Qualified Studies'!B19)</f>
        <v/>
      </c>
      <c r="G20" s="3" t="str">
        <f>IF(ISBLANK('[1]Graphite Qualified Studies'!C19),"",'[1]Graphite Qualified Studies'!C19)</f>
        <v/>
      </c>
      <c r="H20" s="3" t="str">
        <f>IF(ISBLANK('[1]Graphite Qualified Studies'!D19),"",'[1]Graphite Qualified Studies'!D19)</f>
        <v/>
      </c>
      <c r="I20" s="3" t="str">
        <f>IF(ISBLANK('[1]Graphite Qualified Studies'!E19),"",'[1]Graphite Qualified Studies'!E19)</f>
        <v/>
      </c>
      <c r="J20" s="3" t="str">
        <f>IF(ISBLANK('[1]Graphite Qualified Studies'!F19),"",'[1]Graphite Qualified Studies'!F19)</f>
        <v/>
      </c>
      <c r="K20" s="3" t="str">
        <f>IF(ISBLANK('[1]Graphite Qualified Studies'!G19),"",'[1]Graphite Qualified Studies'!G19)</f>
        <v/>
      </c>
      <c r="L20" s="3" t="str">
        <f>IF(ISBLANK('[1]Graphite Qualified Studies'!H19),"",'[1]Graphite Qualified Studies'!H19)</f>
        <v/>
      </c>
      <c r="M20" s="3" t="str">
        <f>IF(ISBLANK('[1]Graphite Qualified Studies'!I19),"",'[1]Graphite Qualified Studies'!I19)</f>
        <v/>
      </c>
      <c r="N20" s="3" t="str">
        <f>IF(ISBLANK('[1]Graphite Qualified Studies'!J19),"",'[1]Graphite Qualified Studies'!J19)</f>
        <v/>
      </c>
      <c r="O20" s="3" t="str">
        <f>IF(ISBLANK('[1]Graphite Qualified Studies'!K19),"",'[1]Graphite Qualified Studies'!K19)</f>
        <v/>
      </c>
      <c r="P20" s="4"/>
      <c r="Q20" s="4"/>
      <c r="S20" s="3" t="str">
        <f>IF(ISBLANK('[1]Graphite Peripheral Studies'!A19),"",'[1]Graphite Peripheral Studies'!A19)</f>
        <v/>
      </c>
      <c r="T20" s="3" t="str">
        <f>IF(ISBLANK('[1]Graphite Peripheral Studies'!B19),"",'[1]Graphite Peripheral Studies'!B19)</f>
        <v/>
      </c>
      <c r="U20" s="3" t="str">
        <f>IF(ISBLANK('[1]Graphite Peripheral Studies'!C19),"",'[1]Graphite Peripheral Studies'!C19)</f>
        <v/>
      </c>
      <c r="V20" s="3" t="str">
        <f>IF(ISBLANK('[1]Graphite Peripheral Studies'!D19),"",'[1]Graphite Peripheral Studies'!D19)</f>
        <v/>
      </c>
      <c r="W20" s="3" t="str">
        <f>IF(ISBLANK('[1]Graphite Peripheral Studies'!E19),"",'[1]Graphite Peripheral Studies'!E19)</f>
        <v/>
      </c>
      <c r="X20" s="3" t="str">
        <f>IF(ISBLANK('[1]Graphite Peripheral Studies'!F19),"",'[1]Graphite Peripheral Studies'!F19)</f>
        <v/>
      </c>
      <c r="Y20" s="3" t="str">
        <f>IF(ISBLANK('[1]Graphite Peripheral Studies'!G19),"",'[1]Graphite Peripheral Studies'!G19)</f>
        <v/>
      </c>
      <c r="Z20" s="3" t="str">
        <f>IF(ISBLANK('[1]Graphite Peripheral Studies'!H19),"",'[1]Graphite Peripheral Studies'!H19)</f>
        <v/>
      </c>
      <c r="AA20" s="3" t="str">
        <f>IF(ISBLANK('[1]Graphite Peripheral Studies'!I19),"",'[1]Graphite Peripheral Studies'!I19)</f>
        <v/>
      </c>
      <c r="AB20" s="3" t="str">
        <f>IF(ISBLANK('[1]Graphite Peripheral Studies'!J19),"",'[1]Graphite Peripheral Studies'!J19)</f>
        <v/>
      </c>
      <c r="AC20" s="1" t="s">
        <v>35</v>
      </c>
    </row>
    <row r="21" spans="4:29" x14ac:dyDescent="0.3">
      <c r="D21" s="1" t="str">
        <f t="shared" si="0"/>
        <v/>
      </c>
      <c r="E21" s="3" t="str">
        <f>IF(ISBLANK('[1]Graphite Qualified Studies'!A20),"",'[1]Graphite Qualified Studies'!A20)</f>
        <v/>
      </c>
      <c r="F21" s="3" t="str">
        <f>IF(ISBLANK('[1]Graphite Qualified Studies'!B20),"",'[1]Graphite Qualified Studies'!B20)</f>
        <v/>
      </c>
      <c r="G21" s="3" t="str">
        <f>IF(ISBLANK('[1]Graphite Qualified Studies'!C20),"",'[1]Graphite Qualified Studies'!C20)</f>
        <v/>
      </c>
      <c r="H21" s="3" t="str">
        <f>IF(ISBLANK('[1]Graphite Qualified Studies'!D20),"",'[1]Graphite Qualified Studies'!D20)</f>
        <v/>
      </c>
      <c r="I21" s="3" t="str">
        <f>IF(ISBLANK('[1]Graphite Qualified Studies'!E20),"",'[1]Graphite Qualified Studies'!E20)</f>
        <v/>
      </c>
      <c r="J21" s="3" t="str">
        <f>IF(ISBLANK('[1]Graphite Qualified Studies'!F20),"",'[1]Graphite Qualified Studies'!F20)</f>
        <v/>
      </c>
      <c r="K21" s="3" t="str">
        <f>IF(ISBLANK('[1]Graphite Qualified Studies'!G20),"",'[1]Graphite Qualified Studies'!G20)</f>
        <v/>
      </c>
      <c r="L21" s="3" t="str">
        <f>IF(ISBLANK('[1]Graphite Qualified Studies'!H20),"",'[1]Graphite Qualified Studies'!H20)</f>
        <v/>
      </c>
      <c r="M21" s="3" t="str">
        <f>IF(ISBLANK('[1]Graphite Qualified Studies'!I20),"",'[1]Graphite Qualified Studies'!I20)</f>
        <v/>
      </c>
      <c r="N21" s="3" t="str">
        <f>IF(ISBLANK('[1]Graphite Qualified Studies'!J20),"",'[1]Graphite Qualified Studies'!J20)</f>
        <v/>
      </c>
      <c r="O21" s="3" t="str">
        <f>IF(ISBLANK('[1]Graphite Qualified Studies'!K20),"",'[1]Graphite Qualified Studies'!K20)</f>
        <v/>
      </c>
      <c r="P21" s="4"/>
      <c r="Q21" s="4"/>
      <c r="S21" s="3" t="str">
        <f>IF(ISBLANK('[1]Graphite Peripheral Studies'!A20),"",'[1]Graphite Peripheral Studies'!A20)</f>
        <v/>
      </c>
      <c r="T21" s="3" t="str">
        <f>IF(ISBLANK('[1]Graphite Peripheral Studies'!B20),"",'[1]Graphite Peripheral Studies'!B20)</f>
        <v/>
      </c>
      <c r="U21" s="3" t="str">
        <f>IF(ISBLANK('[1]Graphite Peripheral Studies'!C20),"",'[1]Graphite Peripheral Studies'!C20)</f>
        <v/>
      </c>
      <c r="V21" s="3" t="str">
        <f>IF(ISBLANK('[1]Graphite Peripheral Studies'!D20),"",'[1]Graphite Peripheral Studies'!D20)</f>
        <v/>
      </c>
      <c r="W21" s="3" t="str">
        <f>IF(ISBLANK('[1]Graphite Peripheral Studies'!E20),"",'[1]Graphite Peripheral Studies'!E20)</f>
        <v/>
      </c>
      <c r="X21" s="3" t="str">
        <f>IF(ISBLANK('[1]Graphite Peripheral Studies'!F20),"",'[1]Graphite Peripheral Studies'!F20)</f>
        <v/>
      </c>
      <c r="Y21" s="3" t="str">
        <f>IF(ISBLANK('[1]Graphite Peripheral Studies'!G20),"",'[1]Graphite Peripheral Studies'!G20)</f>
        <v/>
      </c>
      <c r="Z21" s="3" t="str">
        <f>IF(ISBLANK('[1]Graphite Peripheral Studies'!H20),"",'[1]Graphite Peripheral Studies'!H20)</f>
        <v/>
      </c>
      <c r="AA21" s="3" t="str">
        <f>IF(ISBLANK('[1]Graphite Peripheral Studies'!I20),"",'[1]Graphite Peripheral Studies'!I20)</f>
        <v/>
      </c>
      <c r="AB21" s="3" t="str">
        <f>IF(ISBLANK('[1]Graphite Peripheral Studies'!J20),"",'[1]Graphite Peripheral Studies'!J20)</f>
        <v/>
      </c>
      <c r="AC21" s="1" t="s">
        <v>35</v>
      </c>
    </row>
    <row r="22" spans="4:29" x14ac:dyDescent="0.3">
      <c r="D22" s="1" t="str">
        <f t="shared" si="0"/>
        <v/>
      </c>
      <c r="E22" s="3" t="str">
        <f>IF(ISBLANK('[1]Graphite Qualified Studies'!A21),"",'[1]Graphite Qualified Studies'!A21)</f>
        <v/>
      </c>
      <c r="F22" s="3" t="str">
        <f>IF(ISBLANK('[1]Graphite Qualified Studies'!B21),"",'[1]Graphite Qualified Studies'!B21)</f>
        <v/>
      </c>
      <c r="G22" s="3" t="str">
        <f>IF(ISBLANK('[1]Graphite Qualified Studies'!C21),"",'[1]Graphite Qualified Studies'!C21)</f>
        <v/>
      </c>
      <c r="H22" s="3" t="str">
        <f>IF(ISBLANK('[1]Graphite Qualified Studies'!D21),"",'[1]Graphite Qualified Studies'!D21)</f>
        <v/>
      </c>
      <c r="I22" s="3" t="str">
        <f>IF(ISBLANK('[1]Graphite Qualified Studies'!E21),"",'[1]Graphite Qualified Studies'!E21)</f>
        <v/>
      </c>
      <c r="J22" s="3" t="str">
        <f>IF(ISBLANK('[1]Graphite Qualified Studies'!F21),"",'[1]Graphite Qualified Studies'!F21)</f>
        <v/>
      </c>
      <c r="K22" s="3" t="str">
        <f>IF(ISBLANK('[1]Graphite Qualified Studies'!G21),"",'[1]Graphite Qualified Studies'!G21)</f>
        <v/>
      </c>
      <c r="L22" s="3" t="str">
        <f>IF(ISBLANK('[1]Graphite Qualified Studies'!H21),"",'[1]Graphite Qualified Studies'!H21)</f>
        <v/>
      </c>
      <c r="M22" s="3" t="str">
        <f>IF(ISBLANK('[1]Graphite Qualified Studies'!I21),"",'[1]Graphite Qualified Studies'!I21)</f>
        <v/>
      </c>
      <c r="N22" s="3" t="str">
        <f>IF(ISBLANK('[1]Graphite Qualified Studies'!J21),"",'[1]Graphite Qualified Studies'!J21)</f>
        <v/>
      </c>
      <c r="O22" s="3" t="str">
        <f>IF(ISBLANK('[1]Graphite Qualified Studies'!K21),"",'[1]Graphite Qualified Studies'!K21)</f>
        <v/>
      </c>
      <c r="P22" s="4"/>
      <c r="Q22" s="4"/>
      <c r="S22" s="3" t="str">
        <f>IF(ISBLANK('[1]Graphite Peripheral Studies'!A21),"",'[1]Graphite Peripheral Studies'!A21)</f>
        <v/>
      </c>
      <c r="T22" s="3" t="str">
        <f>IF(ISBLANK('[1]Graphite Peripheral Studies'!B21),"",'[1]Graphite Peripheral Studies'!B21)</f>
        <v/>
      </c>
      <c r="U22" s="3" t="str">
        <f>IF(ISBLANK('[1]Graphite Peripheral Studies'!C21),"",'[1]Graphite Peripheral Studies'!C21)</f>
        <v/>
      </c>
      <c r="V22" s="3" t="str">
        <f>IF(ISBLANK('[1]Graphite Peripheral Studies'!D21),"",'[1]Graphite Peripheral Studies'!D21)</f>
        <v/>
      </c>
      <c r="W22" s="3" t="str">
        <f>IF(ISBLANK('[1]Graphite Peripheral Studies'!E21),"",'[1]Graphite Peripheral Studies'!E21)</f>
        <v/>
      </c>
      <c r="X22" s="3" t="str">
        <f>IF(ISBLANK('[1]Graphite Peripheral Studies'!F21),"",'[1]Graphite Peripheral Studies'!F21)</f>
        <v/>
      </c>
      <c r="Y22" s="3" t="str">
        <f>IF(ISBLANK('[1]Graphite Peripheral Studies'!G21),"",'[1]Graphite Peripheral Studies'!G21)</f>
        <v/>
      </c>
      <c r="Z22" s="3" t="str">
        <f>IF(ISBLANK('[1]Graphite Peripheral Studies'!H21),"",'[1]Graphite Peripheral Studies'!H21)</f>
        <v/>
      </c>
      <c r="AA22" s="3" t="str">
        <f>IF(ISBLANK('[1]Graphite Peripheral Studies'!I21),"",'[1]Graphite Peripheral Studies'!I21)</f>
        <v/>
      </c>
      <c r="AB22" s="3" t="str">
        <f>IF(ISBLANK('[1]Graphite Peripheral Studies'!J21),"",'[1]Graphite Peripheral Studies'!J21)</f>
        <v/>
      </c>
      <c r="AC22" s="1" t="s">
        <v>35</v>
      </c>
    </row>
    <row r="23" spans="4:29" x14ac:dyDescent="0.3">
      <c r="D23" s="1" t="str">
        <f t="shared" si="0"/>
        <v/>
      </c>
      <c r="E23" s="3" t="str">
        <f>IF(ISBLANK('[1]Graphite Qualified Studies'!A22),"",'[1]Graphite Qualified Studies'!A22)</f>
        <v/>
      </c>
      <c r="F23" s="3" t="str">
        <f>IF(ISBLANK('[1]Graphite Qualified Studies'!B22),"",'[1]Graphite Qualified Studies'!B22)</f>
        <v/>
      </c>
      <c r="G23" s="3" t="str">
        <f>IF(ISBLANK('[1]Graphite Qualified Studies'!C22),"",'[1]Graphite Qualified Studies'!C22)</f>
        <v/>
      </c>
      <c r="H23" s="3" t="str">
        <f>IF(ISBLANK('[1]Graphite Qualified Studies'!D22),"",'[1]Graphite Qualified Studies'!D22)</f>
        <v/>
      </c>
      <c r="I23" s="3" t="str">
        <f>IF(ISBLANK('[1]Graphite Qualified Studies'!E22),"",'[1]Graphite Qualified Studies'!E22)</f>
        <v/>
      </c>
      <c r="J23" s="3" t="str">
        <f>IF(ISBLANK('[1]Graphite Qualified Studies'!F22),"",'[1]Graphite Qualified Studies'!F22)</f>
        <v/>
      </c>
      <c r="K23" s="3" t="str">
        <f>IF(ISBLANK('[1]Graphite Qualified Studies'!G22),"",'[1]Graphite Qualified Studies'!G22)</f>
        <v/>
      </c>
      <c r="L23" s="3" t="str">
        <f>IF(ISBLANK('[1]Graphite Qualified Studies'!H22),"",'[1]Graphite Qualified Studies'!H22)</f>
        <v/>
      </c>
      <c r="M23" s="3" t="str">
        <f>IF(ISBLANK('[1]Graphite Qualified Studies'!I22),"",'[1]Graphite Qualified Studies'!I22)</f>
        <v/>
      </c>
      <c r="N23" s="3" t="str">
        <f>IF(ISBLANK('[1]Graphite Qualified Studies'!J22),"",'[1]Graphite Qualified Studies'!J22)</f>
        <v/>
      </c>
      <c r="O23" s="3" t="str">
        <f>IF(ISBLANK('[1]Graphite Qualified Studies'!K22),"",'[1]Graphite Qualified Studies'!K22)</f>
        <v/>
      </c>
      <c r="P23" s="4"/>
      <c r="Q23" s="4"/>
      <c r="S23" s="3" t="str">
        <f>IF(ISBLANK('[1]Graphite Peripheral Studies'!A22),"",'[1]Graphite Peripheral Studies'!A22)</f>
        <v/>
      </c>
      <c r="T23" s="3" t="str">
        <f>IF(ISBLANK('[1]Graphite Peripheral Studies'!B22),"",'[1]Graphite Peripheral Studies'!B22)</f>
        <v/>
      </c>
      <c r="U23" s="3" t="str">
        <f>IF(ISBLANK('[1]Graphite Peripheral Studies'!C22),"",'[1]Graphite Peripheral Studies'!C22)</f>
        <v/>
      </c>
      <c r="V23" s="3" t="str">
        <f>IF(ISBLANK('[1]Graphite Peripheral Studies'!D22),"",'[1]Graphite Peripheral Studies'!D22)</f>
        <v/>
      </c>
      <c r="W23" s="3" t="str">
        <f>IF(ISBLANK('[1]Graphite Peripheral Studies'!E22),"",'[1]Graphite Peripheral Studies'!E22)</f>
        <v/>
      </c>
      <c r="X23" s="3" t="str">
        <f>IF(ISBLANK('[1]Graphite Peripheral Studies'!F22),"",'[1]Graphite Peripheral Studies'!F22)</f>
        <v/>
      </c>
      <c r="Y23" s="3" t="str">
        <f>IF(ISBLANK('[1]Graphite Peripheral Studies'!G22),"",'[1]Graphite Peripheral Studies'!G22)</f>
        <v/>
      </c>
      <c r="Z23" s="3" t="str">
        <f>IF(ISBLANK('[1]Graphite Peripheral Studies'!H22),"",'[1]Graphite Peripheral Studies'!H22)</f>
        <v/>
      </c>
      <c r="AA23" s="3" t="str">
        <f>IF(ISBLANK('[1]Graphite Peripheral Studies'!I22),"",'[1]Graphite Peripheral Studies'!I22)</f>
        <v/>
      </c>
      <c r="AB23" s="3" t="str">
        <f>IF(ISBLANK('[1]Graphite Peripheral Studies'!J22),"",'[1]Graphite Peripheral Studies'!J22)</f>
        <v/>
      </c>
      <c r="AC23" s="1" t="s">
        <v>35</v>
      </c>
    </row>
  </sheetData>
  <mergeCells count="4">
    <mergeCell ref="E1:O1"/>
    <mergeCell ref="S1:AB1"/>
    <mergeCell ref="A1:C1"/>
    <mergeCell ref="P1:Q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ECF4F-B5C6-4E45-AFF3-3FD96D206366}">
  <dimension ref="A1:T17"/>
  <sheetViews>
    <sheetView zoomScaleNormal="100" workbookViewId="0">
      <selection sqref="A1:F1"/>
    </sheetView>
  </sheetViews>
  <sheetFormatPr defaultColWidth="8.77734375" defaultRowHeight="14.4" x14ac:dyDescent="0.3"/>
  <cols>
    <col min="1" max="19" width="8.77734375" style="1"/>
    <col min="20" max="20" width="17.77734375" style="1" customWidth="1"/>
    <col min="21" max="16384" width="8.77734375" style="1"/>
  </cols>
  <sheetData>
    <row r="1" spans="1:20" x14ac:dyDescent="0.3">
      <c r="A1" s="85" t="s">
        <v>107</v>
      </c>
      <c r="B1" s="85"/>
      <c r="C1" s="85"/>
      <c r="D1" s="85"/>
      <c r="E1" s="85"/>
      <c r="F1" s="85"/>
      <c r="H1" s="88" t="s">
        <v>156</v>
      </c>
      <c r="I1" s="88"/>
      <c r="J1" s="88"/>
      <c r="K1" s="88"/>
      <c r="L1" s="88"/>
      <c r="M1" s="88"/>
      <c r="N1" s="88"/>
      <c r="O1" s="88"/>
      <c r="P1" s="88"/>
      <c r="Q1" s="88"/>
      <c r="R1" s="88"/>
      <c r="S1" s="109" t="s">
        <v>112</v>
      </c>
      <c r="T1" s="109"/>
    </row>
    <row r="2" spans="1:20" ht="28.8" x14ac:dyDescent="0.3">
      <c r="A2" s="2" t="s">
        <v>33</v>
      </c>
      <c r="B2" s="2" t="s">
        <v>22</v>
      </c>
      <c r="C2" s="2" t="s">
        <v>6</v>
      </c>
      <c r="D2" s="2" t="s">
        <v>31</v>
      </c>
      <c r="E2" s="2" t="s">
        <v>10</v>
      </c>
      <c r="F2" s="2" t="s">
        <v>154</v>
      </c>
      <c r="H2" s="3" t="str">
        <f>IF(ISBLANK('[1]Graphite Qualified Studies'!A1),"",'[1]Graphite Qualified Studies'!A1)</f>
        <v>Source</v>
      </c>
      <c r="I2" s="3" t="str">
        <f>IF(ISBLANK('[1]Graphite Qualified Studies'!B1),"",'[1]Graphite Qualified Studies'!B1)</f>
        <v>Title</v>
      </c>
      <c r="J2" s="3" t="str">
        <f>IF(ISBLANK('[1]Graphite Qualified Studies'!C1),"",'[1]Graphite Qualified Studies'!C1)</f>
        <v>Link</v>
      </c>
      <c r="K2" s="3" t="str">
        <f>IF(ISBLANK('[1]Graphite Qualified Studies'!D1),"",'[1]Graphite Qualified Studies'!D1)</f>
        <v>Source type</v>
      </c>
      <c r="L2" s="3" t="str">
        <f>IF(ISBLANK('[1]Graphite Qualified Studies'!E1),"",'[1]Graphite Qualified Studies'!E1)</f>
        <v>Total emissions [kgCO2eq/kg]</v>
      </c>
      <c r="M2" s="3" t="str">
        <f>IF(ISBLANK('[1]Graphite Qualified Studies'!F1),"",'[1]Graphite Qualified Studies'!F1)</f>
        <v>Harmonised emissions [kgCO2eq/kg]</v>
      </c>
      <c r="N2" s="3" t="str">
        <f>IF(ISBLANK('[1]Graphite Qualified Studies'!G1),"",'[1]Graphite Qualified Studies'!G1)</f>
        <v>Primary data?</v>
      </c>
      <c r="O2" s="3" t="str">
        <f>IF(ISBLANK('[1]Graphite Qualified Studies'!H1),"",'[1]Graphite Qualified Studies'!H1)</f>
        <v>Functional unit?</v>
      </c>
      <c r="P2" s="3" t="str">
        <f>IF(ISBLANK('[1]Graphite Qualified Studies'!I1),"",'[1]Graphite Qualified Studies'!I1)</f>
        <v>System boundaries</v>
      </c>
      <c r="Q2" s="3" t="str">
        <f>IF(ISBLANK('[1]Graphite Qualified Studies'!J1),"",'[1]Graphite Qualified Studies'!J1)</f>
        <v>Methodological transparency</v>
      </c>
      <c r="R2" s="3" t="str">
        <f>IF(ISBLANK('[1]Graphite Qualified Studies'!K1),"",'[1]Graphite Qualified Studies'!K1)</f>
        <v>Process / ore type?</v>
      </c>
      <c r="S2" s="4" t="s">
        <v>105</v>
      </c>
      <c r="T2" s="5" t="s">
        <v>109</v>
      </c>
    </row>
    <row r="3" spans="1:20" x14ac:dyDescent="0.3">
      <c r="A3" s="2" t="s">
        <v>89</v>
      </c>
      <c r="B3" s="69">
        <v>0</v>
      </c>
      <c r="C3" s="69">
        <v>0</v>
      </c>
      <c r="D3" s="69">
        <v>9.6</v>
      </c>
      <c r="E3" s="69">
        <v>0</v>
      </c>
      <c r="F3" s="69">
        <f>SUM(B3:E3)</f>
        <v>9.6</v>
      </c>
      <c r="G3" s="1" t="str">
        <f>IF(H3="Surovsteva et al (2022)","","ERROR - check row order of Notion export")</f>
        <v/>
      </c>
      <c r="H3" s="3" t="str">
        <f>IF(ISBLANK('[1]Graphite Qualified Studies'!A2),"",'[1]Graphite Qualified Studies'!A2)</f>
        <v>Surovsteva et al (2022)</v>
      </c>
      <c r="I3" s="3" t="str">
        <f>IF(ISBLANK('[1]Graphite Qualified Studies'!B2),"",'[1]Graphite Qualified Studies'!B2)</f>
        <v>Toward a life cycle inventory for graphite production</v>
      </c>
      <c r="J3" s="3" t="str">
        <f>IF(ISBLANK('[1]Graphite Qualified Studies'!C2),"",'[1]Graphite Qualified Studies'!C2)</f>
        <v>https://doi.org/10.1111/jiec.13234</v>
      </c>
      <c r="K3" s="3" t="str">
        <f>IF(ISBLANK('[1]Graphite Qualified Studies'!D2),"",'[1]Graphite Qualified Studies'!D2)</f>
        <v>Literature</v>
      </c>
      <c r="L3" s="3" t="str">
        <f>IF(ISBLANK('[1]Graphite Qualified Studies'!E2),"",'[1]Graphite Qualified Studies'!E2)</f>
        <v>13.8 kg CO2-eq/kgG</v>
      </c>
      <c r="M3" s="3" t="str">
        <f>IF(ISBLANK('[1]Graphite Qualified Studies'!F2),"",'[1]Graphite Qualified Studies'!F2)</f>
        <v>13.8 kgCO2-eq/kg_G</v>
      </c>
      <c r="N3" s="3" t="str">
        <f>IF(ISBLANK('[1]Graphite Qualified Studies'!G2),"",'[1]Graphite Qualified Studies'!G2)</f>
        <v>no, based on publicly available data</v>
      </c>
      <c r="O3" s="3" t="str">
        <f>IF(ISBLANK('[1]Graphite Qualified Studies'!H2),"",'[1]Graphite Qualified Studies'!H2)</f>
        <v>1 kg of synthetic graphite</v>
      </c>
      <c r="P3" s="3" t="str">
        <f>IF(ISBLANK('[1]Graphite Qualified Studies'!I2),"",'[1]Graphite Qualified Studies'!I2)</f>
        <v>see screenshot in notes</v>
      </c>
      <c r="Q3" s="3" t="str">
        <f>IF(ISBLANK('[1]Graphite Qualified Studies'!J2),"",'[1]Graphite Qualified Studies'!J2)</f>
        <v>+ transparent</v>
      </c>
      <c r="R3" s="3" t="str">
        <f>IF(ISBLANK('[1]Graphite Qualified Studies'!K2),"",'[1]Graphite Qualified Studies'!K2)</f>
        <v>Synthetic graphite</v>
      </c>
      <c r="S3" s="4" t="b">
        <v>0</v>
      </c>
      <c r="T3" s="4" t="s">
        <v>158</v>
      </c>
    </row>
    <row r="4" spans="1:20" x14ac:dyDescent="0.3">
      <c r="A4" s="2" t="s">
        <v>90</v>
      </c>
      <c r="B4" s="69">
        <v>0</v>
      </c>
      <c r="C4" s="69">
        <v>0</v>
      </c>
      <c r="D4" s="2">
        <v>5.3</v>
      </c>
      <c r="E4" s="69">
        <v>0</v>
      </c>
      <c r="F4" s="69">
        <f>SUM(B4:E4)</f>
        <v>5.3</v>
      </c>
      <c r="G4" s="1" t="str">
        <f>IF(H4="Engels et al (2022a)","","ERROR - check row order of Notion export")</f>
        <v/>
      </c>
      <c r="H4" s="3" t="str">
        <f>IF(ISBLANK('[1]Graphite Qualified Studies'!A3),"",'[1]Graphite Qualified Studies'!A3)</f>
        <v>Engels et al (2022a)</v>
      </c>
      <c r="I4" s="3" t="str">
        <f>IF(ISBLANK('[1]Graphite Qualified Studies'!B3),"",'[1]Graphite Qualified Studies'!B3)</f>
        <v>Life cycle assessment of natural graphite production for lithium-ion battery anodes based on industrial primary data</v>
      </c>
      <c r="J4" s="3" t="str">
        <f>IF(ISBLANK('[1]Graphite Qualified Studies'!C3),"",'[1]Graphite Qualified Studies'!C3)</f>
        <v>https://doi.org/10.1016/j.jclepro.2022.130474</v>
      </c>
      <c r="K4" s="3" t="str">
        <f>IF(ISBLANK('[1]Graphite Qualified Studies'!D3),"",'[1]Graphite Qualified Studies'!D3)</f>
        <v>Literature</v>
      </c>
      <c r="L4" s="3" t="str">
        <f>IF(ISBLANK('[1]Graphite Qualified Studies'!E3),"",'[1]Graphite Qualified Studies'!E3)</f>
        <v>9.616 kgCO2-eq/kgG</v>
      </c>
      <c r="M4" s="3" t="str">
        <f>IF(ISBLANK('[1]Graphite Qualified Studies'!F3),"",'[1]Graphite Qualified Studies'!F3)</f>
        <v>9.616 kgCO2-eq/kg_G</v>
      </c>
      <c r="N4" s="3" t="str">
        <f>IF(ISBLANK('[1]Graphite Qualified Studies'!G3),"",'[1]Graphite Qualified Studies'!G3)</f>
        <v>yes ⇒ from Chinese graphite producer</v>
      </c>
      <c r="O4" s="3" t="str">
        <f>IF(ISBLANK('[1]Graphite Qualified Studies'!H3),"",'[1]Graphite Qualified Studies'!H3)</f>
        <v>1000 kg of purified natural spherical graphite anode material</v>
      </c>
      <c r="P4" s="3" t="str">
        <f>IF(ISBLANK('[1]Graphite Qualified Studies'!I3),"",'[1]Graphite Qualified Studies'!I3)</f>
        <v>see screenshot in notes</v>
      </c>
      <c r="Q4" s="3" t="str">
        <f>IF(ISBLANK('[1]Graphite Qualified Studies'!J3),"",'[1]Graphite Qualified Studies'!J3)</f>
        <v>++ transparent</v>
      </c>
      <c r="R4" s="3" t="str">
        <f>IF(ISBLANK('[1]Graphite Qualified Studies'!K3),"",'[1]Graphite Qualified Studies'!K3)</f>
        <v>Natural graphite</v>
      </c>
      <c r="S4" s="4" t="b">
        <v>1</v>
      </c>
      <c r="T4" s="4"/>
    </row>
    <row r="5" spans="1:20" x14ac:dyDescent="0.3">
      <c r="G5" s="1" t="str">
        <f>IF(H5="Gao et al (2018)","","ERROR - check row order of Notion export")</f>
        <v/>
      </c>
      <c r="H5" s="3" t="str">
        <f>IF(ISBLANK('[1]Graphite Qualified Studies'!A4),"",'[1]Graphite Qualified Studies'!A4)</f>
        <v>Gao et al (2018)</v>
      </c>
      <c r="I5" s="3" t="str">
        <f>IF(ISBLANK('[1]Graphite Qualified Studies'!B4),"",'[1]Graphite Qualified Studies'!B4)</f>
        <v>Energy consumption and carbon emission analysis of natural graphite anode material for lithium batteries</v>
      </c>
      <c r="J5" s="3" t="str">
        <f>IF(ISBLANK('[1]Graphite Qualified Studies'!C4),"",'[1]Graphite Qualified Studies'!C4)</f>
        <v>https://doi.org/10.4028/www.scientific.net/MSF.913.985</v>
      </c>
      <c r="K5" s="3" t="str">
        <f>IF(ISBLANK('[1]Graphite Qualified Studies'!D4),"",'[1]Graphite Qualified Studies'!D4)</f>
        <v>Literature</v>
      </c>
      <c r="L5" s="3" t="str">
        <f>IF(ISBLANK('[1]Graphite Qualified Studies'!E4),"",'[1]Graphite Qualified Studies'!E4)</f>
        <v>Natural: 5.31591 kgCO2-eq/kgG</v>
      </c>
      <c r="M5" s="3" t="str">
        <f>IF(ISBLANK('[1]Graphite Qualified Studies'!F4),"",'[1]Graphite Qualified Studies'!F4)</f>
        <v>5.31591 kgCO2-eq/kg_G</v>
      </c>
      <c r="N5" s="3" t="str">
        <f>IF(ISBLANK('[1]Graphite Qualified Studies'!G4),"",'[1]Graphite Qualified Studies'!G4)</f>
        <v>partly ⇒ they mention primary data (next to secondary data) but don’t say where it is from… ⇒ not sure tough whether they mean foreground system and just call it “primary data”..</v>
      </c>
      <c r="O5" s="3" t="str">
        <f>IF(ISBLANK('[1]Graphite Qualified Studies'!H4),"",'[1]Graphite Qualified Studies'!H4)</f>
        <v>1 ton of natural graphite anode material</v>
      </c>
      <c r="P5" s="3" t="str">
        <f>IF(ISBLANK('[1]Graphite Qualified Studies'!I4),"",'[1]Graphite Qualified Studies'!I4)</f>
        <v>see screenshot in notes</v>
      </c>
      <c r="Q5" s="3" t="str">
        <f>IF(ISBLANK('[1]Graphite Qualified Studies'!J4),"",'[1]Graphite Qualified Studies'!J4)</f>
        <v>+ transparent, - intransparent</v>
      </c>
      <c r="R5" s="3" t="str">
        <f>IF(ISBLANK('[1]Graphite Qualified Studies'!K4),"",'[1]Graphite Qualified Studies'!K4)</f>
        <v>Natural graphite</v>
      </c>
      <c r="S5" s="4" t="b">
        <v>1</v>
      </c>
      <c r="T5" s="4"/>
    </row>
    <row r="6" spans="1:20" x14ac:dyDescent="0.3">
      <c r="G6" s="1" t="str">
        <f>IF(H6="Yin et al (2019)","","ERROR - check row order of Notion export")</f>
        <v/>
      </c>
      <c r="H6" s="3" t="str">
        <f>IF(ISBLANK('[1]Graphite Qualified Studies'!A5),"",'[1]Graphite Qualified Studies'!A5)</f>
        <v>Yin et al (2019)</v>
      </c>
      <c r="I6" s="3" t="str">
        <f>IF(ISBLANK('[1]Graphite Qualified Studies'!B5),"",'[1]Graphite Qualified Studies'!B5)</f>
        <v>Life cycle inventories of the commonly used materials for lithium-ion batteries in China</v>
      </c>
      <c r="J6" s="3" t="str">
        <f>IF(ISBLANK('[1]Graphite Qualified Studies'!C5),"",'[1]Graphite Qualified Studies'!C5)</f>
        <v>https://www.sciencedirect.com/science/article/pii/S0959652619312661</v>
      </c>
      <c r="K6" s="3" t="str">
        <f>IF(ISBLANK('[1]Graphite Qualified Studies'!D5),"",'[1]Graphite Qualified Studies'!D5)</f>
        <v>Literature</v>
      </c>
      <c r="L6" s="3" t="str">
        <f>IF(ISBLANK('[1]Graphite Qualified Studies'!E5),"",'[1]Graphite Qualified Studies'!E5)</f>
        <v xml:space="preserve">6.56 kgCO2-eq/kg (extracted with tool from fig. 10)
</v>
      </c>
      <c r="M6" s="3" t="str">
        <f>IF(ISBLANK('[1]Graphite Qualified Studies'!F5),"",'[1]Graphite Qualified Studies'!F5)</f>
        <v>6.56 kgCO2-eq/kg_G</v>
      </c>
      <c r="N6" s="3" t="str">
        <f>IF(ISBLANK('[1]Graphite Qualified Studies'!G5),"",'[1]Graphite Qualified Studies'!G5)</f>
        <v>New data collected from Chinese environmental performance assessment reports (EPARs) - see Table 2</v>
      </c>
      <c r="O6" s="3" t="str">
        <f>IF(ISBLANK('[1]Graphite Qualified Studies'!H5),"",'[1]Graphite Qualified Studies'!H5)</f>
        <v>1 kg</v>
      </c>
      <c r="P6" s="3" t="str">
        <f>IF(ISBLANK('[1]Graphite Qualified Studies'!I5),"",'[1]Graphite Qualified Studies'!I5)</f>
        <v>see screenshot</v>
      </c>
      <c r="Q6" s="3" t="str">
        <f>IF(ISBLANK('[1]Graphite Qualified Studies'!J5),"",'[1]Graphite Qualified Studies'!J5)</f>
        <v>++ transparent</v>
      </c>
      <c r="R6" s="3" t="str">
        <f>IF(ISBLANK('[1]Graphite Qualified Studies'!K5),"",'[1]Graphite Qualified Studies'!K5)</f>
        <v>Synthetic graphite</v>
      </c>
      <c r="S6" s="4" t="b">
        <v>0</v>
      </c>
      <c r="T6" s="4" t="s">
        <v>158</v>
      </c>
    </row>
    <row r="7" spans="1:20" x14ac:dyDescent="0.3">
      <c r="G7" s="1" t="str">
        <f>IF(H7="GREET 2022 [synthetic]","","ERROR - check row order of Notion export")</f>
        <v/>
      </c>
      <c r="H7" s="3" t="str">
        <f>IF(ISBLANK('[1]Graphite Qualified Studies'!A6),"",'[1]Graphite Qualified Studies'!A6)</f>
        <v>GREET 2022 [synthetic]</v>
      </c>
      <c r="I7" s="3" t="str">
        <f>IF(ISBLANK('[1]Graphite Qualified Studies'!B6),"",'[1]Graphite Qualified Studies'!B6)</f>
        <v>synthetic pathway</v>
      </c>
      <c r="J7" s="3" t="str">
        <f>IF(ISBLANK('[1]Graphite Qualified Studies'!C6),"",'[1]Graphite Qualified Studies'!C6)</f>
        <v>https://greet.anl.gov/</v>
      </c>
      <c r="K7" s="3" t="str">
        <f>IF(ISBLANK('[1]Graphite Qualified Studies'!D6),"",'[1]Graphite Qualified Studies'!D6)</f>
        <v>Database</v>
      </c>
      <c r="L7" s="3" t="str">
        <f>IF(ISBLANK('[1]Graphite Qualified Studies'!E6),"",'[1]Graphite Qualified Studies'!E6)</f>
        <v>9.1116 kg CO2eq/kg synthetic graphite</v>
      </c>
      <c r="M7" s="3" t="str">
        <f>IF(ISBLANK('[1]Graphite Qualified Studies'!F6),"",'[1]Graphite Qualified Studies'!F6)</f>
        <v>9.1116 kgCO2-eq/kg_G</v>
      </c>
      <c r="N7" s="3" t="str">
        <f>IF(ISBLANK('[1]Graphite Qualified Studies'!G6),"",'[1]Graphite Qualified Studies'!G6)</f>
        <v/>
      </c>
      <c r="O7" s="3" t="str">
        <f>IF(ISBLANK('[1]Graphite Qualified Studies'!H6),"",'[1]Graphite Qualified Studies'!H6)</f>
        <v>1 ton of synthetic graphite</v>
      </c>
      <c r="P7" s="3" t="str">
        <f>IF(ISBLANK('[1]Graphite Qualified Studies'!I6),"",'[1]Graphite Qualified Studies'!I6)</f>
        <v/>
      </c>
      <c r="Q7" s="3" t="str">
        <f>IF(ISBLANK('[1]Graphite Qualified Studies'!J6),"",'[1]Graphite Qualified Studies'!J6)</f>
        <v/>
      </c>
      <c r="R7" s="3" t="str">
        <f>IF(ISBLANK('[1]Graphite Qualified Studies'!K6),"",'[1]Graphite Qualified Studies'!K6)</f>
        <v>Synthetic graphite</v>
      </c>
      <c r="S7" s="4" t="b">
        <v>0</v>
      </c>
      <c r="T7" s="4" t="s">
        <v>159</v>
      </c>
    </row>
    <row r="8" spans="1:20" x14ac:dyDescent="0.3">
      <c r="G8" s="1" t="str">
        <f>IF(H8="GREET 2022 [natural]","","ERROR - check row order of Notion export")</f>
        <v/>
      </c>
      <c r="H8" s="3" t="str">
        <f>IF(ISBLANK('[1]Graphite Qualified Studies'!A7),"",'[1]Graphite Qualified Studies'!A7)</f>
        <v>GREET 2022 [natural]</v>
      </c>
      <c r="I8" s="3" t="str">
        <f>IF(ISBLANK('[1]Graphite Qualified Studies'!B7),"",'[1]Graphite Qualified Studies'!B7)</f>
        <v>natural pathway</v>
      </c>
      <c r="J8" s="3" t="str">
        <f>IF(ISBLANK('[1]Graphite Qualified Studies'!C7),"",'[1]Graphite Qualified Studies'!C7)</f>
        <v>https://greet.anl.gov/</v>
      </c>
      <c r="K8" s="3" t="str">
        <f>IF(ISBLANK('[1]Graphite Qualified Studies'!D7),"",'[1]Graphite Qualified Studies'!D7)</f>
        <v>Database</v>
      </c>
      <c r="L8" s="3" t="str">
        <f>IF(ISBLANK('[1]Graphite Qualified Studies'!E7),"",'[1]Graphite Qualified Studies'!E7)</f>
        <v>8.6891 kg CO2eq/kg natural graphite</v>
      </c>
      <c r="M8" s="3" t="str">
        <f>IF(ISBLANK('[1]Graphite Qualified Studies'!F7),"",'[1]Graphite Qualified Studies'!F7)</f>
        <v>8.6891 kgCO2-eq/kg_G</v>
      </c>
      <c r="N8" s="3" t="str">
        <f>IF(ISBLANK('[1]Graphite Qualified Studies'!G7),"",'[1]Graphite Qualified Studies'!G7)</f>
        <v/>
      </c>
      <c r="O8" s="3" t="str">
        <f>IF(ISBLANK('[1]Graphite Qualified Studies'!H7),"",'[1]Graphite Qualified Studies'!H7)</f>
        <v>1 ton of coated spherical natural graphite</v>
      </c>
      <c r="P8" s="3" t="str">
        <f>IF(ISBLANK('[1]Graphite Qualified Studies'!I7),"",'[1]Graphite Qualified Studies'!I7)</f>
        <v/>
      </c>
      <c r="Q8" s="3" t="str">
        <f>IF(ISBLANK('[1]Graphite Qualified Studies'!J7),"",'[1]Graphite Qualified Studies'!J7)</f>
        <v/>
      </c>
      <c r="R8" s="3" t="str">
        <f>IF(ISBLANK('[1]Graphite Qualified Studies'!K7),"",'[1]Graphite Qualified Studies'!K7)</f>
        <v>Natural graphite</v>
      </c>
      <c r="S8" s="4" t="b">
        <v>0</v>
      </c>
      <c r="T8" s="4" t="s">
        <v>159</v>
      </c>
    </row>
    <row r="9" spans="1:20" x14ac:dyDescent="0.3">
      <c r="G9" s="1" t="str">
        <f>IF(H9="Ecoinvent Version 3.9.1","","ERROR - check row order of Notion export")</f>
        <v/>
      </c>
      <c r="H9" s="3" t="str">
        <f>IF(ISBLANK('[1]Graphite Qualified Studies'!A8),"",'[1]Graphite Qualified Studies'!A8)</f>
        <v>Ecoinvent Version 3.9.1</v>
      </c>
      <c r="I9" s="3" t="str">
        <f>IF(ISBLANK('[1]Graphite Qualified Studies'!B8),"",'[1]Graphite Qualified Studies'!B8)</f>
        <v>Rest of World</v>
      </c>
      <c r="J9" s="3" t="str">
        <f>IF(ISBLANK('[1]Graphite Qualified Studies'!C8),"",'[1]Graphite Qualified Studies'!C8)</f>
        <v>https://ecoquery.ecoinvent.org/3.9.1/cutoff/dataset/8671/impact_assessment</v>
      </c>
      <c r="K9" s="3" t="str">
        <f>IF(ISBLANK('[1]Graphite Qualified Studies'!D8),"",'[1]Graphite Qualified Studies'!D8)</f>
        <v>Database</v>
      </c>
      <c r="L9" s="3" t="str">
        <f>IF(ISBLANK('[1]Graphite Qualified Studies'!E8),"",'[1]Graphite Qualified Studies'!E8)</f>
        <v>1.5952 kg CO2-Eq / kg Graphite</v>
      </c>
      <c r="M9" s="3" t="str">
        <f>IF(ISBLANK('[1]Graphite Qualified Studies'!F8),"",'[1]Graphite Qualified Studies'!F8)</f>
        <v>1.5952 kgCO2-eq/kg_G</v>
      </c>
      <c r="N9" s="3" t="str">
        <f>IF(ISBLANK('[1]Graphite Qualified Studies'!G8),"",'[1]Graphite Qualified Studies'!G8)</f>
        <v/>
      </c>
      <c r="O9" s="3" t="str">
        <f>IF(ISBLANK('[1]Graphite Qualified Studies'!H8),"",'[1]Graphite Qualified Studies'!H8)</f>
        <v>1 kg of Graphite, Battery Grade</v>
      </c>
      <c r="P9" s="3" t="str">
        <f>IF(ISBLANK('[1]Graphite Qualified Studies'!I8),"",'[1]Graphite Qualified Studies'!I8)</f>
        <v/>
      </c>
      <c r="Q9" s="3" t="str">
        <f>IF(ISBLANK('[1]Graphite Qualified Studies'!J8),"",'[1]Graphite Qualified Studies'!J8)</f>
        <v/>
      </c>
      <c r="R9" s="3" t="str">
        <f>IF(ISBLANK('[1]Graphite Qualified Studies'!K8),"",'[1]Graphite Qualified Studies'!K8)</f>
        <v>Natural graphite</v>
      </c>
      <c r="S9" s="4" t="b">
        <v>0</v>
      </c>
      <c r="T9" s="4" t="s">
        <v>159</v>
      </c>
    </row>
    <row r="10" spans="1:20" x14ac:dyDescent="0.3">
      <c r="G10" s="1" t="str">
        <f>IF(H10="Ecoinvent Version 3.9.1","","ERROR - check row order of Notion export")</f>
        <v/>
      </c>
      <c r="H10" s="3" t="str">
        <f>IF(ISBLANK('[1]Graphite Qualified Studies'!A9),"",'[1]Graphite Qualified Studies'!A9)</f>
        <v>Ecoinvent Version 3.9.1</v>
      </c>
      <c r="I10" s="3" t="str">
        <f>IF(ISBLANK('[1]Graphite Qualified Studies'!B9),"",'[1]Graphite Qualified Studies'!B9)</f>
        <v>China</v>
      </c>
      <c r="J10" s="3" t="str">
        <f>IF(ISBLANK('[1]Graphite Qualified Studies'!C9),"",'[1]Graphite Qualified Studies'!C9)</f>
        <v>https://ecoquery.ecoinvent.org/3.9.1/cutoff/dataset/3576/impact_assessment</v>
      </c>
      <c r="K10" s="3" t="str">
        <f>IF(ISBLANK('[1]Graphite Qualified Studies'!D9),"",'[1]Graphite Qualified Studies'!D9)</f>
        <v>Database</v>
      </c>
      <c r="L10" s="3" t="str">
        <f>IF(ISBLANK('[1]Graphite Qualified Studies'!E9),"",'[1]Graphite Qualified Studies'!E9)</f>
        <v>1.9638 kg CO2-Eq / kg Graphite</v>
      </c>
      <c r="M10" s="3" t="str">
        <f>IF(ISBLANK('[1]Graphite Qualified Studies'!F9),"",'[1]Graphite Qualified Studies'!F9)</f>
        <v>1.9638 kgCO2-eq/kg_G</v>
      </c>
      <c r="N10" s="3" t="str">
        <f>IF(ISBLANK('[1]Graphite Qualified Studies'!G9),"",'[1]Graphite Qualified Studies'!G9)</f>
        <v/>
      </c>
      <c r="O10" s="3" t="str">
        <f>IF(ISBLANK('[1]Graphite Qualified Studies'!H9),"",'[1]Graphite Qualified Studies'!H9)</f>
        <v>1 kg of Graphite, Battery Grade</v>
      </c>
      <c r="P10" s="3" t="str">
        <f>IF(ISBLANK('[1]Graphite Qualified Studies'!I9),"",'[1]Graphite Qualified Studies'!I9)</f>
        <v/>
      </c>
      <c r="Q10" s="3" t="str">
        <f>IF(ISBLANK('[1]Graphite Qualified Studies'!J9),"",'[1]Graphite Qualified Studies'!J9)</f>
        <v/>
      </c>
      <c r="R10" s="3" t="str">
        <f>IF(ISBLANK('[1]Graphite Qualified Studies'!K9),"",'[1]Graphite Qualified Studies'!K9)</f>
        <v>Natural graphite</v>
      </c>
      <c r="S10" s="4" t="b">
        <v>0</v>
      </c>
      <c r="T10" s="4" t="s">
        <v>159</v>
      </c>
    </row>
    <row r="11" spans="1:20" x14ac:dyDescent="0.3">
      <c r="G11" s="1" t="str">
        <f>IF(H11="Ecoinvent Version 3.9.1","","ERROR - check row order of Notion export")</f>
        <v/>
      </c>
      <c r="H11" s="3" t="str">
        <f>IF(ISBLANK('[1]Graphite Qualified Studies'!A10),"",'[1]Graphite Qualified Studies'!A10)</f>
        <v>Ecoinvent Version 3.9.1</v>
      </c>
      <c r="I11" s="3" t="str">
        <f>IF(ISBLANK('[1]Graphite Qualified Studies'!B10),"",'[1]Graphite Qualified Studies'!B10)</f>
        <v>China</v>
      </c>
      <c r="J11" s="3" t="str">
        <f>IF(ISBLANK('[1]Graphite Qualified Studies'!C10),"",'[1]Graphite Qualified Studies'!C10)</f>
        <v>https://ecoquery.ecoinvent.org/3.9.1/cutoff/dataset/24786/impact_assessment</v>
      </c>
      <c r="K11" s="3" t="str">
        <f>IF(ISBLANK('[1]Graphite Qualified Studies'!D10),"",'[1]Graphite Qualified Studies'!D10)</f>
        <v>Database</v>
      </c>
      <c r="L11" s="3" t="str">
        <f>IF(ISBLANK('[1]Graphite Qualified Studies'!E10),"",'[1]Graphite Qualified Studies'!E10)</f>
        <v>5.3848 kg CO2-Eq / kg Synthetic Graphite</v>
      </c>
      <c r="M11" s="3" t="str">
        <f>IF(ISBLANK('[1]Graphite Qualified Studies'!F10),"",'[1]Graphite Qualified Studies'!F10)</f>
        <v>5.3848 kgCO2-eq/kg_G</v>
      </c>
      <c r="N11" s="3" t="str">
        <f>IF(ISBLANK('[1]Graphite Qualified Studies'!G10),"",'[1]Graphite Qualified Studies'!G10)</f>
        <v/>
      </c>
      <c r="O11" s="3" t="str">
        <f>IF(ISBLANK('[1]Graphite Qualified Studies'!H10),"",'[1]Graphite Qualified Studies'!H10)</f>
        <v>1 kg of Synthetic Graphite, Battery Grade</v>
      </c>
      <c r="P11" s="3" t="str">
        <f>IF(ISBLANK('[1]Graphite Qualified Studies'!I10),"",'[1]Graphite Qualified Studies'!I10)</f>
        <v/>
      </c>
      <c r="Q11" s="3" t="str">
        <f>IF(ISBLANK('[1]Graphite Qualified Studies'!J10),"",'[1]Graphite Qualified Studies'!J10)</f>
        <v/>
      </c>
      <c r="R11" s="3" t="str">
        <f>IF(ISBLANK('[1]Graphite Qualified Studies'!K10),"",'[1]Graphite Qualified Studies'!K10)</f>
        <v>Synthetic graphite</v>
      </c>
      <c r="S11" s="4" t="b">
        <v>0</v>
      </c>
      <c r="T11" s="4" t="s">
        <v>159</v>
      </c>
    </row>
    <row r="12" spans="1:20" x14ac:dyDescent="0.3">
      <c r="G12" s="1" t="str">
        <f>IF(H12="Ecoinvent Version 3.9.1","","ERROR - check row order of Notion export")</f>
        <v/>
      </c>
      <c r="H12" s="3" t="str">
        <f>IF(ISBLANK('[1]Graphite Qualified Studies'!A11),"",'[1]Graphite Qualified Studies'!A11)</f>
        <v>Ecoinvent Version 3.9.1</v>
      </c>
      <c r="I12" s="3" t="str">
        <f>IF(ISBLANK('[1]Graphite Qualified Studies'!B11),"",'[1]Graphite Qualified Studies'!B11)</f>
        <v>Rest of World</v>
      </c>
      <c r="J12" s="3" t="str">
        <f>IF(ISBLANK('[1]Graphite Qualified Studies'!C11),"",'[1]Graphite Qualified Studies'!C11)</f>
        <v>https://ecoquery.ecoinvent.org/3.9.1/cutoff/dataset/25146/impact_assessment</v>
      </c>
      <c r="K12" s="3" t="str">
        <f>IF(ISBLANK('[1]Graphite Qualified Studies'!D11),"",'[1]Graphite Qualified Studies'!D11)</f>
        <v>Database</v>
      </c>
      <c r="L12" s="3" t="str">
        <f>IF(ISBLANK('[1]Graphite Qualified Studies'!E11),"",'[1]Graphite Qualified Studies'!E11)</f>
        <v>3.9554 kg CO2-Eq / kg Synthetic Graphite</v>
      </c>
      <c r="M12" s="3" t="str">
        <f>IF(ISBLANK('[1]Graphite Qualified Studies'!F11),"",'[1]Graphite Qualified Studies'!F11)</f>
        <v>3.9554 kgCO2-eq/kg_G</v>
      </c>
      <c r="N12" s="3" t="str">
        <f>IF(ISBLANK('[1]Graphite Qualified Studies'!G11),"",'[1]Graphite Qualified Studies'!G11)</f>
        <v/>
      </c>
      <c r="O12" s="3" t="str">
        <f>IF(ISBLANK('[1]Graphite Qualified Studies'!H11),"",'[1]Graphite Qualified Studies'!H11)</f>
        <v>1 kg f Synthetic Graphite, Battery Grade</v>
      </c>
      <c r="P12" s="3" t="str">
        <f>IF(ISBLANK('[1]Graphite Qualified Studies'!I11),"",'[1]Graphite Qualified Studies'!I11)</f>
        <v/>
      </c>
      <c r="Q12" s="3" t="str">
        <f>IF(ISBLANK('[1]Graphite Qualified Studies'!J11),"",'[1]Graphite Qualified Studies'!J11)</f>
        <v/>
      </c>
      <c r="R12" s="3" t="str">
        <f>IF(ISBLANK('[1]Graphite Qualified Studies'!K11),"",'[1]Graphite Qualified Studies'!K11)</f>
        <v>Synthetic graphite</v>
      </c>
      <c r="S12" s="4" t="b">
        <v>0</v>
      </c>
      <c r="T12" s="4" t="s">
        <v>159</v>
      </c>
    </row>
    <row r="13" spans="1:20" x14ac:dyDescent="0.3">
      <c r="G13" s="1" t="str">
        <f>IF(H13="","","ERROR - check row order of Notion export")</f>
        <v/>
      </c>
      <c r="H13" s="3" t="str">
        <f>IF(ISBLANK('[1]Graphite Qualified Studies'!A12),"",'[1]Graphite Qualified Studies'!A12)</f>
        <v/>
      </c>
      <c r="I13" s="3" t="str">
        <f>IF(ISBLANK('[1]Graphite Qualified Studies'!B12),"",'[1]Graphite Qualified Studies'!B12)</f>
        <v/>
      </c>
      <c r="J13" s="3" t="str">
        <f>IF(ISBLANK('[1]Graphite Qualified Studies'!C12),"",'[1]Graphite Qualified Studies'!C12)</f>
        <v/>
      </c>
      <c r="K13" s="3" t="str">
        <f>IF(ISBLANK('[1]Graphite Qualified Studies'!D12),"",'[1]Graphite Qualified Studies'!D12)</f>
        <v/>
      </c>
      <c r="L13" s="3" t="str">
        <f>IF(ISBLANK('[1]Graphite Qualified Studies'!E12),"",'[1]Graphite Qualified Studies'!E12)</f>
        <v/>
      </c>
      <c r="M13" s="3" t="str">
        <f>IF(ISBLANK('[1]Graphite Qualified Studies'!F12),"",'[1]Graphite Qualified Studies'!F12)</f>
        <v/>
      </c>
      <c r="N13" s="3" t="str">
        <f>IF(ISBLANK('[1]Graphite Qualified Studies'!G12),"",'[1]Graphite Qualified Studies'!G12)</f>
        <v/>
      </c>
      <c r="O13" s="3" t="str">
        <f>IF(ISBLANK('[1]Graphite Qualified Studies'!H12),"",'[1]Graphite Qualified Studies'!H12)</f>
        <v/>
      </c>
      <c r="P13" s="3" t="str">
        <f>IF(ISBLANK('[1]Graphite Qualified Studies'!I12),"",'[1]Graphite Qualified Studies'!I12)</f>
        <v/>
      </c>
      <c r="Q13" s="3" t="str">
        <f>IF(ISBLANK('[1]Graphite Qualified Studies'!J12),"",'[1]Graphite Qualified Studies'!J12)</f>
        <v/>
      </c>
      <c r="R13" s="3" t="str">
        <f>IF(ISBLANK('[1]Graphite Qualified Studies'!K12),"",'[1]Graphite Qualified Studies'!K12)</f>
        <v/>
      </c>
      <c r="S13" s="4"/>
      <c r="T13" s="4"/>
    </row>
    <row r="14" spans="1:20" x14ac:dyDescent="0.3">
      <c r="G14" s="1" t="str">
        <f>IF(H14="","","ERROR - check row order of Notion export")</f>
        <v/>
      </c>
      <c r="H14" s="3" t="str">
        <f>IF(ISBLANK('[1]Graphite Qualified Studies'!A13),"",'[1]Graphite Qualified Studies'!A13)</f>
        <v/>
      </c>
      <c r="I14" s="3" t="str">
        <f>IF(ISBLANK('[1]Graphite Qualified Studies'!B13),"",'[1]Graphite Qualified Studies'!B13)</f>
        <v/>
      </c>
      <c r="J14" s="3" t="str">
        <f>IF(ISBLANK('[1]Graphite Qualified Studies'!C13),"",'[1]Graphite Qualified Studies'!C13)</f>
        <v/>
      </c>
      <c r="K14" s="3" t="str">
        <f>IF(ISBLANK('[1]Graphite Qualified Studies'!D13),"",'[1]Graphite Qualified Studies'!D13)</f>
        <v/>
      </c>
      <c r="L14" s="3" t="str">
        <f>IF(ISBLANK('[1]Graphite Qualified Studies'!E13),"",'[1]Graphite Qualified Studies'!E13)</f>
        <v/>
      </c>
      <c r="M14" s="3" t="str">
        <f>IF(ISBLANK('[1]Graphite Qualified Studies'!F13),"",'[1]Graphite Qualified Studies'!F13)</f>
        <v/>
      </c>
      <c r="N14" s="3" t="str">
        <f>IF(ISBLANK('[1]Graphite Qualified Studies'!G13),"",'[1]Graphite Qualified Studies'!G13)</f>
        <v/>
      </c>
      <c r="O14" s="3" t="str">
        <f>IF(ISBLANK('[1]Graphite Qualified Studies'!H13),"",'[1]Graphite Qualified Studies'!H13)</f>
        <v/>
      </c>
      <c r="P14" s="3" t="str">
        <f>IF(ISBLANK('[1]Graphite Qualified Studies'!I13),"",'[1]Graphite Qualified Studies'!I13)</f>
        <v/>
      </c>
      <c r="Q14" s="3" t="str">
        <f>IF(ISBLANK('[1]Graphite Qualified Studies'!J13),"",'[1]Graphite Qualified Studies'!J13)</f>
        <v/>
      </c>
      <c r="R14" s="3" t="str">
        <f>IF(ISBLANK('[1]Graphite Qualified Studies'!K13),"",'[1]Graphite Qualified Studies'!K13)</f>
        <v/>
      </c>
      <c r="S14" s="4"/>
      <c r="T14" s="4"/>
    </row>
    <row r="15" spans="1:20" x14ac:dyDescent="0.3">
      <c r="G15" s="1" t="str">
        <f>IF(H15="","","ERROR - check row order of Notion export")</f>
        <v/>
      </c>
      <c r="H15" s="3" t="str">
        <f>IF(ISBLANK('[1]Graphite Qualified Studies'!A14),"",'[1]Graphite Qualified Studies'!A14)</f>
        <v/>
      </c>
      <c r="I15" s="3" t="str">
        <f>IF(ISBLANK('[1]Graphite Qualified Studies'!B14),"",'[1]Graphite Qualified Studies'!B14)</f>
        <v/>
      </c>
      <c r="J15" s="3" t="str">
        <f>IF(ISBLANK('[1]Graphite Qualified Studies'!C14),"",'[1]Graphite Qualified Studies'!C14)</f>
        <v/>
      </c>
      <c r="K15" s="3" t="str">
        <f>IF(ISBLANK('[1]Graphite Qualified Studies'!D14),"",'[1]Graphite Qualified Studies'!D14)</f>
        <v/>
      </c>
      <c r="L15" s="3" t="str">
        <f>IF(ISBLANK('[1]Graphite Qualified Studies'!E14),"",'[1]Graphite Qualified Studies'!E14)</f>
        <v/>
      </c>
      <c r="M15" s="3" t="str">
        <f>IF(ISBLANK('[1]Graphite Qualified Studies'!F14),"",'[1]Graphite Qualified Studies'!F14)</f>
        <v/>
      </c>
      <c r="N15" s="3" t="str">
        <f>IF(ISBLANK('[1]Graphite Qualified Studies'!G14),"",'[1]Graphite Qualified Studies'!G14)</f>
        <v/>
      </c>
      <c r="O15" s="3" t="str">
        <f>IF(ISBLANK('[1]Graphite Qualified Studies'!H14),"",'[1]Graphite Qualified Studies'!H14)</f>
        <v/>
      </c>
      <c r="P15" s="3" t="str">
        <f>IF(ISBLANK('[1]Graphite Qualified Studies'!I14),"",'[1]Graphite Qualified Studies'!I14)</f>
        <v/>
      </c>
      <c r="Q15" s="3" t="str">
        <f>IF(ISBLANK('[1]Graphite Qualified Studies'!J14),"",'[1]Graphite Qualified Studies'!J14)</f>
        <v/>
      </c>
      <c r="R15" s="3" t="str">
        <f>IF(ISBLANK('[1]Graphite Qualified Studies'!K14),"",'[1]Graphite Qualified Studies'!K14)</f>
        <v/>
      </c>
      <c r="S15" s="4"/>
      <c r="T15" s="4"/>
    </row>
    <row r="16" spans="1:20" x14ac:dyDescent="0.3">
      <c r="G16" s="1" t="str">
        <f>IF(H16="","","ERROR - check row order of Notion export")</f>
        <v/>
      </c>
      <c r="H16" s="3" t="str">
        <f>IF(ISBLANK('[1]Graphite Qualified Studies'!A15),"",'[1]Graphite Qualified Studies'!A15)</f>
        <v/>
      </c>
      <c r="I16" s="3" t="str">
        <f>IF(ISBLANK('[1]Graphite Qualified Studies'!B15),"",'[1]Graphite Qualified Studies'!B15)</f>
        <v/>
      </c>
      <c r="J16" s="3" t="str">
        <f>IF(ISBLANK('[1]Graphite Qualified Studies'!C15),"",'[1]Graphite Qualified Studies'!C15)</f>
        <v/>
      </c>
      <c r="K16" s="3" t="str">
        <f>IF(ISBLANK('[1]Graphite Qualified Studies'!D15),"",'[1]Graphite Qualified Studies'!D15)</f>
        <v/>
      </c>
      <c r="L16" s="3" t="str">
        <f>IF(ISBLANK('[1]Graphite Qualified Studies'!E15),"",'[1]Graphite Qualified Studies'!E15)</f>
        <v/>
      </c>
      <c r="M16" s="3" t="str">
        <f>IF(ISBLANK('[1]Graphite Qualified Studies'!F15),"",'[1]Graphite Qualified Studies'!F15)</f>
        <v/>
      </c>
      <c r="N16" s="3" t="str">
        <f>IF(ISBLANK('[1]Graphite Qualified Studies'!G15),"",'[1]Graphite Qualified Studies'!G15)</f>
        <v/>
      </c>
      <c r="O16" s="3" t="str">
        <f>IF(ISBLANK('[1]Graphite Qualified Studies'!H15),"",'[1]Graphite Qualified Studies'!H15)</f>
        <v/>
      </c>
      <c r="P16" s="3" t="str">
        <f>IF(ISBLANK('[1]Graphite Qualified Studies'!I15),"",'[1]Graphite Qualified Studies'!I15)</f>
        <v/>
      </c>
      <c r="Q16" s="3" t="str">
        <f>IF(ISBLANK('[1]Graphite Qualified Studies'!J15),"",'[1]Graphite Qualified Studies'!J15)</f>
        <v/>
      </c>
      <c r="R16" s="3" t="str">
        <f>IF(ISBLANK('[1]Graphite Qualified Studies'!K15),"",'[1]Graphite Qualified Studies'!K15)</f>
        <v/>
      </c>
      <c r="S16" s="4"/>
      <c r="T16" s="4"/>
    </row>
    <row r="17" spans="7:20" x14ac:dyDescent="0.3">
      <c r="G17" s="1" t="str">
        <f>IF(H17="","","ERROR - check row order of Notion export")</f>
        <v/>
      </c>
      <c r="H17" s="3" t="str">
        <f>IF(ISBLANK('[1]Graphite Qualified Studies'!A16),"",'[1]Graphite Qualified Studies'!A16)</f>
        <v/>
      </c>
      <c r="I17" s="3" t="str">
        <f>IF(ISBLANK('[1]Graphite Qualified Studies'!B16),"",'[1]Graphite Qualified Studies'!B16)</f>
        <v/>
      </c>
      <c r="J17" s="3" t="str">
        <f>IF(ISBLANK('[1]Graphite Qualified Studies'!C16),"",'[1]Graphite Qualified Studies'!C16)</f>
        <v/>
      </c>
      <c r="K17" s="3" t="str">
        <f>IF(ISBLANK('[1]Graphite Qualified Studies'!D16),"",'[1]Graphite Qualified Studies'!D16)</f>
        <v/>
      </c>
      <c r="L17" s="3" t="str">
        <f>IF(ISBLANK('[1]Graphite Qualified Studies'!E16),"",'[1]Graphite Qualified Studies'!E16)</f>
        <v/>
      </c>
      <c r="M17" s="3" t="str">
        <f>IF(ISBLANK('[1]Graphite Qualified Studies'!F16),"",'[1]Graphite Qualified Studies'!F16)</f>
        <v/>
      </c>
      <c r="N17" s="3" t="str">
        <f>IF(ISBLANK('[1]Graphite Qualified Studies'!G16),"",'[1]Graphite Qualified Studies'!G16)</f>
        <v/>
      </c>
      <c r="O17" s="3" t="str">
        <f>IF(ISBLANK('[1]Graphite Qualified Studies'!H16),"",'[1]Graphite Qualified Studies'!H16)</f>
        <v/>
      </c>
      <c r="P17" s="3" t="str">
        <f>IF(ISBLANK('[1]Graphite Qualified Studies'!I16),"",'[1]Graphite Qualified Studies'!I16)</f>
        <v/>
      </c>
      <c r="Q17" s="3" t="str">
        <f>IF(ISBLANK('[1]Graphite Qualified Studies'!J16),"",'[1]Graphite Qualified Studies'!J16)</f>
        <v/>
      </c>
      <c r="R17" s="3" t="str">
        <f>IF(ISBLANK('[1]Graphite Qualified Studies'!K16),"",'[1]Graphite Qualified Studies'!K16)</f>
        <v/>
      </c>
      <c r="S17" s="4"/>
      <c r="T17" s="4"/>
    </row>
  </sheetData>
  <mergeCells count="3">
    <mergeCell ref="A1:F1"/>
    <mergeCell ref="H1:R1"/>
    <mergeCell ref="S1:T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B601A-1B7C-4356-A636-A45F9E9FD35F}">
  <dimension ref="A1:T17"/>
  <sheetViews>
    <sheetView zoomScale="102" zoomScaleNormal="70" workbookViewId="0">
      <selection sqref="A1:F1"/>
    </sheetView>
  </sheetViews>
  <sheetFormatPr defaultColWidth="8.77734375" defaultRowHeight="14.4" x14ac:dyDescent="0.3"/>
  <cols>
    <col min="1" max="19" width="8.77734375" style="1"/>
    <col min="20" max="20" width="13.77734375" style="1" customWidth="1"/>
    <col min="21" max="16384" width="8.77734375" style="1"/>
  </cols>
  <sheetData>
    <row r="1" spans="1:20" x14ac:dyDescent="0.3">
      <c r="A1" s="85" t="s">
        <v>107</v>
      </c>
      <c r="B1" s="85"/>
      <c r="C1" s="85"/>
      <c r="D1" s="85"/>
      <c r="E1" s="85"/>
      <c r="F1" s="85"/>
      <c r="H1" s="88" t="s">
        <v>156</v>
      </c>
      <c r="I1" s="88"/>
      <c r="J1" s="88"/>
      <c r="K1" s="88"/>
      <c r="L1" s="88"/>
      <c r="M1" s="88"/>
      <c r="N1" s="88"/>
      <c r="O1" s="88"/>
      <c r="P1" s="88"/>
      <c r="Q1" s="88"/>
      <c r="R1" s="88"/>
      <c r="S1" s="109" t="s">
        <v>112</v>
      </c>
      <c r="T1" s="109"/>
    </row>
    <row r="2" spans="1:20" ht="28.8" x14ac:dyDescent="0.3">
      <c r="A2" s="2" t="s">
        <v>33</v>
      </c>
      <c r="B2" s="2" t="s">
        <v>22</v>
      </c>
      <c r="C2" s="2" t="s">
        <v>6</v>
      </c>
      <c r="D2" s="2" t="s">
        <v>31</v>
      </c>
      <c r="E2" s="2" t="s">
        <v>10</v>
      </c>
      <c r="F2" s="2" t="s">
        <v>154</v>
      </c>
      <c r="H2" s="3" t="str">
        <f>IF(ISBLANK('[1]Graphite Qualified Studies'!A1),"",'[1]Graphite Qualified Studies'!A1)</f>
        <v>Source</v>
      </c>
      <c r="I2" s="3" t="str">
        <f>IF(ISBLANK('[1]Graphite Qualified Studies'!B1),"",'[1]Graphite Qualified Studies'!B1)</f>
        <v>Title</v>
      </c>
      <c r="J2" s="3" t="str">
        <f>IF(ISBLANK('[1]Graphite Qualified Studies'!C1),"",'[1]Graphite Qualified Studies'!C1)</f>
        <v>Link</v>
      </c>
      <c r="K2" s="3" t="str">
        <f>IF(ISBLANK('[1]Graphite Qualified Studies'!D1),"",'[1]Graphite Qualified Studies'!D1)</f>
        <v>Source type</v>
      </c>
      <c r="L2" s="3" t="str">
        <f>IF(ISBLANK('[1]Graphite Qualified Studies'!E1),"",'[1]Graphite Qualified Studies'!E1)</f>
        <v>Total emissions [kgCO2eq/kg]</v>
      </c>
      <c r="M2" s="3" t="str">
        <f>IF(ISBLANK('[1]Graphite Qualified Studies'!F1),"",'[1]Graphite Qualified Studies'!F1)</f>
        <v>Harmonised emissions [kgCO2eq/kg]</v>
      </c>
      <c r="N2" s="3" t="str">
        <f>IF(ISBLANK('[1]Graphite Qualified Studies'!G1),"",'[1]Graphite Qualified Studies'!G1)</f>
        <v>Primary data?</v>
      </c>
      <c r="O2" s="3" t="str">
        <f>IF(ISBLANK('[1]Graphite Qualified Studies'!H1),"",'[1]Graphite Qualified Studies'!H1)</f>
        <v>Functional unit?</v>
      </c>
      <c r="P2" s="3" t="str">
        <f>IF(ISBLANK('[1]Graphite Qualified Studies'!I1),"",'[1]Graphite Qualified Studies'!I1)</f>
        <v>System boundaries</v>
      </c>
      <c r="Q2" s="3" t="str">
        <f>IF(ISBLANK('[1]Graphite Qualified Studies'!J1),"",'[1]Graphite Qualified Studies'!J1)</f>
        <v>Methodological transparency</v>
      </c>
      <c r="R2" s="3" t="str">
        <f>IF(ISBLANK('[1]Graphite Qualified Studies'!K1),"",'[1]Graphite Qualified Studies'!K1)</f>
        <v>Process / ore type?</v>
      </c>
      <c r="S2" s="4" t="s">
        <v>105</v>
      </c>
      <c r="T2" s="5" t="s">
        <v>109</v>
      </c>
    </row>
    <row r="3" spans="1:20" x14ac:dyDescent="0.3">
      <c r="A3" s="2" t="s">
        <v>91</v>
      </c>
      <c r="B3" s="69">
        <v>0</v>
      </c>
      <c r="C3" s="69">
        <v>0</v>
      </c>
      <c r="D3" s="69">
        <v>13.8</v>
      </c>
      <c r="E3" s="69">
        <v>0</v>
      </c>
      <c r="F3" s="69">
        <f>SUM(B3:E3)</f>
        <v>13.8</v>
      </c>
      <c r="G3" s="1" t="str">
        <f>IF(H3="Surovsteva et al (2022)","","ERROR - check row order of Notion export")</f>
        <v/>
      </c>
      <c r="H3" s="3" t="str">
        <f>IF(ISBLANK('[1]Graphite Qualified Studies'!A2),"",'[1]Graphite Qualified Studies'!A2)</f>
        <v>Surovsteva et al (2022)</v>
      </c>
      <c r="I3" s="3" t="str">
        <f>IF(ISBLANK('[1]Graphite Qualified Studies'!B2),"",'[1]Graphite Qualified Studies'!B2)</f>
        <v>Toward a life cycle inventory for graphite production</v>
      </c>
      <c r="J3" s="3" t="str">
        <f>IF(ISBLANK('[1]Graphite Qualified Studies'!C2),"",'[1]Graphite Qualified Studies'!C2)</f>
        <v>https://doi.org/10.1111/jiec.13234</v>
      </c>
      <c r="K3" s="3" t="str">
        <f>IF(ISBLANK('[1]Graphite Qualified Studies'!D2),"",'[1]Graphite Qualified Studies'!D2)</f>
        <v>Literature</v>
      </c>
      <c r="L3" s="3" t="str">
        <f>IF(ISBLANK('[1]Graphite Qualified Studies'!E2),"",'[1]Graphite Qualified Studies'!E2)</f>
        <v>13.8 kg CO2-eq/kgG</v>
      </c>
      <c r="M3" s="3" t="str">
        <f>IF(ISBLANK('[1]Graphite Qualified Studies'!F2),"",'[1]Graphite Qualified Studies'!F2)</f>
        <v>13.8 kgCO2-eq/kg_G</v>
      </c>
      <c r="N3" s="3" t="str">
        <f>IF(ISBLANK('[1]Graphite Qualified Studies'!G2),"",'[1]Graphite Qualified Studies'!G2)</f>
        <v>no, based on publicly available data</v>
      </c>
      <c r="O3" s="3" t="str">
        <f>IF(ISBLANK('[1]Graphite Qualified Studies'!H2),"",'[1]Graphite Qualified Studies'!H2)</f>
        <v>1 kg of synthetic graphite</v>
      </c>
      <c r="P3" s="3" t="str">
        <f>IF(ISBLANK('[1]Graphite Qualified Studies'!I2),"",'[1]Graphite Qualified Studies'!I2)</f>
        <v>see screenshot in notes</v>
      </c>
      <c r="Q3" s="3" t="str">
        <f>IF(ISBLANK('[1]Graphite Qualified Studies'!J2),"",'[1]Graphite Qualified Studies'!J2)</f>
        <v>+ transparent</v>
      </c>
      <c r="R3" s="3" t="str">
        <f>IF(ISBLANK('[1]Graphite Qualified Studies'!K2),"",'[1]Graphite Qualified Studies'!K2)</f>
        <v>Synthetic graphite</v>
      </c>
      <c r="S3" s="4" t="b">
        <v>1</v>
      </c>
      <c r="T3" s="4"/>
    </row>
    <row r="4" spans="1:20" x14ac:dyDescent="0.3">
      <c r="A4" s="2" t="s">
        <v>683</v>
      </c>
      <c r="B4" s="69">
        <v>0</v>
      </c>
      <c r="C4" s="69">
        <v>0</v>
      </c>
      <c r="D4" s="69">
        <v>6.56</v>
      </c>
      <c r="E4" s="69">
        <v>0</v>
      </c>
      <c r="F4" s="69">
        <f>SUM(B4:E4)</f>
        <v>6.56</v>
      </c>
      <c r="G4" s="1" t="str">
        <f>IF(H4="Engels et al (2022a)","","ERROR - check row order of Notion export")</f>
        <v/>
      </c>
      <c r="H4" s="3" t="str">
        <f>IF(ISBLANK('[1]Graphite Qualified Studies'!A3),"",'[1]Graphite Qualified Studies'!A3)</f>
        <v>Engels et al (2022a)</v>
      </c>
      <c r="I4" s="3" t="str">
        <f>IF(ISBLANK('[1]Graphite Qualified Studies'!B3),"",'[1]Graphite Qualified Studies'!B3)</f>
        <v>Life cycle assessment of natural graphite production for lithium-ion battery anodes based on industrial primary data</v>
      </c>
      <c r="J4" s="3" t="str">
        <f>IF(ISBLANK('[1]Graphite Qualified Studies'!C3),"",'[1]Graphite Qualified Studies'!C3)</f>
        <v>https://doi.org/10.1016/j.jclepro.2022.130474</v>
      </c>
      <c r="K4" s="3" t="str">
        <f>IF(ISBLANK('[1]Graphite Qualified Studies'!D3),"",'[1]Graphite Qualified Studies'!D3)</f>
        <v>Literature</v>
      </c>
      <c r="L4" s="3" t="str">
        <f>IF(ISBLANK('[1]Graphite Qualified Studies'!E3),"",'[1]Graphite Qualified Studies'!E3)</f>
        <v>9.616 kgCO2-eq/kgG</v>
      </c>
      <c r="M4" s="3" t="str">
        <f>IF(ISBLANK('[1]Graphite Qualified Studies'!F3),"",'[1]Graphite Qualified Studies'!F3)</f>
        <v>9.616 kgCO2-eq/kg_G</v>
      </c>
      <c r="N4" s="3" t="str">
        <f>IF(ISBLANK('[1]Graphite Qualified Studies'!G3),"",'[1]Graphite Qualified Studies'!G3)</f>
        <v>yes ⇒ from Chinese graphite producer</v>
      </c>
      <c r="O4" s="3" t="str">
        <f>IF(ISBLANK('[1]Graphite Qualified Studies'!H3),"",'[1]Graphite Qualified Studies'!H3)</f>
        <v>1000 kg of purified natural spherical graphite anode material</v>
      </c>
      <c r="P4" s="3" t="str">
        <f>IF(ISBLANK('[1]Graphite Qualified Studies'!I3),"",'[1]Graphite Qualified Studies'!I3)</f>
        <v>see screenshot in notes</v>
      </c>
      <c r="Q4" s="3" t="str">
        <f>IF(ISBLANK('[1]Graphite Qualified Studies'!J3),"",'[1]Graphite Qualified Studies'!J3)</f>
        <v>++ transparent</v>
      </c>
      <c r="R4" s="3" t="str">
        <f>IF(ISBLANK('[1]Graphite Qualified Studies'!K3),"",'[1]Graphite Qualified Studies'!K3)</f>
        <v>Natural graphite</v>
      </c>
      <c r="S4" s="4" t="b">
        <v>0</v>
      </c>
      <c r="T4" s="4" t="s">
        <v>160</v>
      </c>
    </row>
    <row r="5" spans="1:20" x14ac:dyDescent="0.3">
      <c r="G5" s="1" t="str">
        <f>IF(H5="Gao et al (2018)","","ERROR - check row order of Notion export")</f>
        <v/>
      </c>
      <c r="H5" s="3" t="str">
        <f>IF(ISBLANK('[1]Graphite Qualified Studies'!A4),"",'[1]Graphite Qualified Studies'!A4)</f>
        <v>Gao et al (2018)</v>
      </c>
      <c r="I5" s="3" t="str">
        <f>IF(ISBLANK('[1]Graphite Qualified Studies'!B4),"",'[1]Graphite Qualified Studies'!B4)</f>
        <v>Energy consumption and carbon emission analysis of natural graphite anode material for lithium batteries</v>
      </c>
      <c r="J5" s="3" t="str">
        <f>IF(ISBLANK('[1]Graphite Qualified Studies'!C4),"",'[1]Graphite Qualified Studies'!C4)</f>
        <v>https://doi.org/10.4028/www.scientific.net/MSF.913.985</v>
      </c>
      <c r="K5" s="3" t="str">
        <f>IF(ISBLANK('[1]Graphite Qualified Studies'!D4),"",'[1]Graphite Qualified Studies'!D4)</f>
        <v>Literature</v>
      </c>
      <c r="L5" s="3" t="str">
        <f>IF(ISBLANK('[1]Graphite Qualified Studies'!E4),"",'[1]Graphite Qualified Studies'!E4)</f>
        <v>Natural: 5.31591 kgCO2-eq/kgG</v>
      </c>
      <c r="M5" s="3" t="str">
        <f>IF(ISBLANK('[1]Graphite Qualified Studies'!F4),"",'[1]Graphite Qualified Studies'!F4)</f>
        <v>5.31591 kgCO2-eq/kg_G</v>
      </c>
      <c r="N5" s="3" t="str">
        <f>IF(ISBLANK('[1]Graphite Qualified Studies'!G4),"",'[1]Graphite Qualified Studies'!G4)</f>
        <v>partly ⇒ they mention primary data (next to secondary data) but don’t say where it is from… ⇒ not sure tough whether they mean foreground system and just call it “primary data”..</v>
      </c>
      <c r="O5" s="3" t="str">
        <f>IF(ISBLANK('[1]Graphite Qualified Studies'!H4),"",'[1]Graphite Qualified Studies'!H4)</f>
        <v>1 ton of natural graphite anode material</v>
      </c>
      <c r="P5" s="3" t="str">
        <f>IF(ISBLANK('[1]Graphite Qualified Studies'!I4),"",'[1]Graphite Qualified Studies'!I4)</f>
        <v>see screenshot in notes</v>
      </c>
      <c r="Q5" s="3" t="str">
        <f>IF(ISBLANK('[1]Graphite Qualified Studies'!J4),"",'[1]Graphite Qualified Studies'!J4)</f>
        <v>+ transparent, - intransparent</v>
      </c>
      <c r="R5" s="3" t="str">
        <f>IF(ISBLANK('[1]Graphite Qualified Studies'!K4),"",'[1]Graphite Qualified Studies'!K4)</f>
        <v>Natural graphite</v>
      </c>
      <c r="S5" s="4" t="b">
        <v>0</v>
      </c>
      <c r="T5" s="4" t="s">
        <v>160</v>
      </c>
    </row>
    <row r="6" spans="1:20" x14ac:dyDescent="0.3">
      <c r="G6" s="1" t="str">
        <f>IF(H6="Yin et al (2019)","","ERROR - check row order of Notion export")</f>
        <v/>
      </c>
      <c r="H6" s="3" t="str">
        <f>IF(ISBLANK('[1]Graphite Qualified Studies'!A5),"",'[1]Graphite Qualified Studies'!A5)</f>
        <v>Yin et al (2019)</v>
      </c>
      <c r="I6" s="3" t="str">
        <f>IF(ISBLANK('[1]Graphite Qualified Studies'!B5),"",'[1]Graphite Qualified Studies'!B5)</f>
        <v>Life cycle inventories of the commonly used materials for lithium-ion batteries in China</v>
      </c>
      <c r="J6" s="3" t="str">
        <f>IF(ISBLANK('[1]Graphite Qualified Studies'!C5),"",'[1]Graphite Qualified Studies'!C5)</f>
        <v>https://www.sciencedirect.com/science/article/pii/S0959652619312661</v>
      </c>
      <c r="K6" s="3" t="str">
        <f>IF(ISBLANK('[1]Graphite Qualified Studies'!D5),"",'[1]Graphite Qualified Studies'!D5)</f>
        <v>Literature</v>
      </c>
      <c r="L6" s="3" t="str">
        <f>IF(ISBLANK('[1]Graphite Qualified Studies'!E5),"",'[1]Graphite Qualified Studies'!E5)</f>
        <v xml:space="preserve">6.56 kgCO2-eq/kg (extracted with tool from fig. 10)
</v>
      </c>
      <c r="M6" s="3" t="str">
        <f>IF(ISBLANK('[1]Graphite Qualified Studies'!F5),"",'[1]Graphite Qualified Studies'!F5)</f>
        <v>6.56 kgCO2-eq/kg_G</v>
      </c>
      <c r="N6" s="3" t="str">
        <f>IF(ISBLANK('[1]Graphite Qualified Studies'!G5),"",'[1]Graphite Qualified Studies'!G5)</f>
        <v>New data collected from Chinese environmental performance assessment reports (EPARs) - see Table 2</v>
      </c>
      <c r="O6" s="3" t="str">
        <f>IF(ISBLANK('[1]Graphite Qualified Studies'!H5),"",'[1]Graphite Qualified Studies'!H5)</f>
        <v>1 kg</v>
      </c>
      <c r="P6" s="3" t="str">
        <f>IF(ISBLANK('[1]Graphite Qualified Studies'!I5),"",'[1]Graphite Qualified Studies'!I5)</f>
        <v>see screenshot</v>
      </c>
      <c r="Q6" s="3" t="str">
        <f>IF(ISBLANK('[1]Graphite Qualified Studies'!J5),"",'[1]Graphite Qualified Studies'!J5)</f>
        <v>++ transparent</v>
      </c>
      <c r="R6" s="3" t="str">
        <f>IF(ISBLANK('[1]Graphite Qualified Studies'!K5),"",'[1]Graphite Qualified Studies'!K5)</f>
        <v>Synthetic graphite</v>
      </c>
      <c r="S6" s="4" t="b">
        <v>1</v>
      </c>
      <c r="T6" s="4"/>
    </row>
    <row r="7" spans="1:20" x14ac:dyDescent="0.3">
      <c r="G7" s="1" t="str">
        <f>IF(H7="GREET 2022 [synthetic]","","ERROR - check row order of Notion export")</f>
        <v/>
      </c>
      <c r="H7" s="3" t="str">
        <f>IF(ISBLANK('[1]Graphite Qualified Studies'!A6),"",'[1]Graphite Qualified Studies'!A6)</f>
        <v>GREET 2022 [synthetic]</v>
      </c>
      <c r="I7" s="3" t="str">
        <f>IF(ISBLANK('[1]Graphite Qualified Studies'!B6),"",'[1]Graphite Qualified Studies'!B6)</f>
        <v>synthetic pathway</v>
      </c>
      <c r="J7" s="3" t="str">
        <f>IF(ISBLANK('[1]Graphite Qualified Studies'!C6),"",'[1]Graphite Qualified Studies'!C6)</f>
        <v>https://greet.anl.gov/</v>
      </c>
      <c r="K7" s="3" t="str">
        <f>IF(ISBLANK('[1]Graphite Qualified Studies'!D6),"",'[1]Graphite Qualified Studies'!D6)</f>
        <v>Database</v>
      </c>
      <c r="L7" s="3" t="str">
        <f>IF(ISBLANK('[1]Graphite Qualified Studies'!E6),"",'[1]Graphite Qualified Studies'!E6)</f>
        <v>9.1116 kg CO2eq/kg synthetic graphite</v>
      </c>
      <c r="M7" s="3" t="str">
        <f>IF(ISBLANK('[1]Graphite Qualified Studies'!F6),"",'[1]Graphite Qualified Studies'!F6)</f>
        <v>9.1116 kgCO2-eq/kg_G</v>
      </c>
      <c r="N7" s="3" t="str">
        <f>IF(ISBLANK('[1]Graphite Qualified Studies'!G6),"",'[1]Graphite Qualified Studies'!G6)</f>
        <v/>
      </c>
      <c r="O7" s="3" t="str">
        <f>IF(ISBLANK('[1]Graphite Qualified Studies'!H6),"",'[1]Graphite Qualified Studies'!H6)</f>
        <v>1 ton of synthetic graphite</v>
      </c>
      <c r="P7" s="3" t="str">
        <f>IF(ISBLANK('[1]Graphite Qualified Studies'!I6),"",'[1]Graphite Qualified Studies'!I6)</f>
        <v/>
      </c>
      <c r="Q7" s="3" t="str">
        <f>IF(ISBLANK('[1]Graphite Qualified Studies'!J6),"",'[1]Graphite Qualified Studies'!J6)</f>
        <v/>
      </c>
      <c r="R7" s="3" t="str">
        <f>IF(ISBLANK('[1]Graphite Qualified Studies'!K6),"",'[1]Graphite Qualified Studies'!K6)</f>
        <v>Synthetic graphite</v>
      </c>
      <c r="S7" s="4" t="b">
        <v>0</v>
      </c>
      <c r="T7" s="4" t="s">
        <v>159</v>
      </c>
    </row>
    <row r="8" spans="1:20" x14ac:dyDescent="0.3">
      <c r="G8" s="1" t="str">
        <f>IF(H8="GREET 2022 [natural]","","ERROR - check row order of Notion export")</f>
        <v/>
      </c>
      <c r="H8" s="3" t="str">
        <f>IF(ISBLANK('[1]Graphite Qualified Studies'!A7),"",'[1]Graphite Qualified Studies'!A7)</f>
        <v>GREET 2022 [natural]</v>
      </c>
      <c r="I8" s="3" t="str">
        <f>IF(ISBLANK('[1]Graphite Qualified Studies'!B7),"",'[1]Graphite Qualified Studies'!B7)</f>
        <v>natural pathway</v>
      </c>
      <c r="J8" s="3" t="str">
        <f>IF(ISBLANK('[1]Graphite Qualified Studies'!C7),"",'[1]Graphite Qualified Studies'!C7)</f>
        <v>https://greet.anl.gov/</v>
      </c>
      <c r="K8" s="3" t="str">
        <f>IF(ISBLANK('[1]Graphite Qualified Studies'!D7),"",'[1]Graphite Qualified Studies'!D7)</f>
        <v>Database</v>
      </c>
      <c r="L8" s="3" t="str">
        <f>IF(ISBLANK('[1]Graphite Qualified Studies'!E7),"",'[1]Graphite Qualified Studies'!E7)</f>
        <v>8.6891 kg CO2eq/kg natural graphite</v>
      </c>
      <c r="M8" s="3" t="str">
        <f>IF(ISBLANK('[1]Graphite Qualified Studies'!F7),"",'[1]Graphite Qualified Studies'!F7)</f>
        <v>8.6891 kgCO2-eq/kg_G</v>
      </c>
      <c r="N8" s="3" t="str">
        <f>IF(ISBLANK('[1]Graphite Qualified Studies'!G7),"",'[1]Graphite Qualified Studies'!G7)</f>
        <v/>
      </c>
      <c r="O8" s="3" t="str">
        <f>IF(ISBLANK('[1]Graphite Qualified Studies'!H7),"",'[1]Graphite Qualified Studies'!H7)</f>
        <v>1 ton of coated spherical natural graphite</v>
      </c>
      <c r="P8" s="3" t="str">
        <f>IF(ISBLANK('[1]Graphite Qualified Studies'!I7),"",'[1]Graphite Qualified Studies'!I7)</f>
        <v/>
      </c>
      <c r="Q8" s="3" t="str">
        <f>IF(ISBLANK('[1]Graphite Qualified Studies'!J7),"",'[1]Graphite Qualified Studies'!J7)</f>
        <v/>
      </c>
      <c r="R8" s="3" t="str">
        <f>IF(ISBLANK('[1]Graphite Qualified Studies'!K7),"",'[1]Graphite Qualified Studies'!K7)</f>
        <v>Natural graphite</v>
      </c>
      <c r="S8" s="4" t="b">
        <v>0</v>
      </c>
      <c r="T8" s="4" t="s">
        <v>159</v>
      </c>
    </row>
    <row r="9" spans="1:20" x14ac:dyDescent="0.3">
      <c r="G9" s="1" t="str">
        <f>IF(H9="Ecoinvent Version 3.9.1","","ERROR - check row order of Notion export")</f>
        <v/>
      </c>
      <c r="H9" s="3" t="str">
        <f>IF(ISBLANK('[1]Graphite Qualified Studies'!A8),"",'[1]Graphite Qualified Studies'!A8)</f>
        <v>Ecoinvent Version 3.9.1</v>
      </c>
      <c r="I9" s="3" t="str">
        <f>IF(ISBLANK('[1]Graphite Qualified Studies'!B8),"",'[1]Graphite Qualified Studies'!B8)</f>
        <v>Rest of World</v>
      </c>
      <c r="J9" s="3" t="str">
        <f>IF(ISBLANK('[1]Graphite Qualified Studies'!C8),"",'[1]Graphite Qualified Studies'!C8)</f>
        <v>https://ecoquery.ecoinvent.org/3.9.1/cutoff/dataset/8671/impact_assessment</v>
      </c>
      <c r="K9" s="3" t="str">
        <f>IF(ISBLANK('[1]Graphite Qualified Studies'!D8),"",'[1]Graphite Qualified Studies'!D8)</f>
        <v>Database</v>
      </c>
      <c r="L9" s="3" t="str">
        <f>IF(ISBLANK('[1]Graphite Qualified Studies'!E8),"",'[1]Graphite Qualified Studies'!E8)</f>
        <v>1.5952 kg CO2-Eq / kg Graphite</v>
      </c>
      <c r="M9" s="3" t="str">
        <f>IF(ISBLANK('[1]Graphite Qualified Studies'!F8),"",'[1]Graphite Qualified Studies'!F8)</f>
        <v>1.5952 kgCO2-eq/kg_G</v>
      </c>
      <c r="N9" s="3" t="str">
        <f>IF(ISBLANK('[1]Graphite Qualified Studies'!G8),"",'[1]Graphite Qualified Studies'!G8)</f>
        <v/>
      </c>
      <c r="O9" s="3" t="str">
        <f>IF(ISBLANK('[1]Graphite Qualified Studies'!H8),"",'[1]Graphite Qualified Studies'!H8)</f>
        <v>1 kg of Graphite, Battery Grade</v>
      </c>
      <c r="P9" s="3" t="str">
        <f>IF(ISBLANK('[1]Graphite Qualified Studies'!I8),"",'[1]Graphite Qualified Studies'!I8)</f>
        <v/>
      </c>
      <c r="Q9" s="3" t="str">
        <f>IF(ISBLANK('[1]Graphite Qualified Studies'!J8),"",'[1]Graphite Qualified Studies'!J8)</f>
        <v/>
      </c>
      <c r="R9" s="3" t="str">
        <f>IF(ISBLANK('[1]Graphite Qualified Studies'!K8),"",'[1]Graphite Qualified Studies'!K8)</f>
        <v>Natural graphite</v>
      </c>
      <c r="S9" s="4" t="b">
        <v>0</v>
      </c>
      <c r="T9" s="4" t="s">
        <v>159</v>
      </c>
    </row>
    <row r="10" spans="1:20" x14ac:dyDescent="0.3">
      <c r="G10" s="1" t="str">
        <f>IF(H10="Ecoinvent Version 3.9.1","","ERROR - check row order of Notion export")</f>
        <v/>
      </c>
      <c r="H10" s="3" t="str">
        <f>IF(ISBLANK('[1]Graphite Qualified Studies'!A9),"",'[1]Graphite Qualified Studies'!A9)</f>
        <v>Ecoinvent Version 3.9.1</v>
      </c>
      <c r="I10" s="3" t="str">
        <f>IF(ISBLANK('[1]Graphite Qualified Studies'!B9),"",'[1]Graphite Qualified Studies'!B9)</f>
        <v>China</v>
      </c>
      <c r="J10" s="3" t="str">
        <f>IF(ISBLANK('[1]Graphite Qualified Studies'!C9),"",'[1]Graphite Qualified Studies'!C9)</f>
        <v>https://ecoquery.ecoinvent.org/3.9.1/cutoff/dataset/3576/impact_assessment</v>
      </c>
      <c r="K10" s="3" t="str">
        <f>IF(ISBLANK('[1]Graphite Qualified Studies'!D9),"",'[1]Graphite Qualified Studies'!D9)</f>
        <v>Database</v>
      </c>
      <c r="L10" s="3" t="str">
        <f>IF(ISBLANK('[1]Graphite Qualified Studies'!E9),"",'[1]Graphite Qualified Studies'!E9)</f>
        <v>1.9638 kg CO2-Eq / kg Graphite</v>
      </c>
      <c r="M10" s="3" t="str">
        <f>IF(ISBLANK('[1]Graphite Qualified Studies'!F9),"",'[1]Graphite Qualified Studies'!F9)</f>
        <v>1.9638 kgCO2-eq/kg_G</v>
      </c>
      <c r="N10" s="3" t="str">
        <f>IF(ISBLANK('[1]Graphite Qualified Studies'!G9),"",'[1]Graphite Qualified Studies'!G9)</f>
        <v/>
      </c>
      <c r="O10" s="3" t="str">
        <f>IF(ISBLANK('[1]Graphite Qualified Studies'!H9),"",'[1]Graphite Qualified Studies'!H9)</f>
        <v>1 kg of Graphite, Battery Grade</v>
      </c>
      <c r="P10" s="3" t="str">
        <f>IF(ISBLANK('[1]Graphite Qualified Studies'!I9),"",'[1]Graphite Qualified Studies'!I9)</f>
        <v/>
      </c>
      <c r="Q10" s="3" t="str">
        <f>IF(ISBLANK('[1]Graphite Qualified Studies'!J9),"",'[1]Graphite Qualified Studies'!J9)</f>
        <v/>
      </c>
      <c r="R10" s="3" t="str">
        <f>IF(ISBLANK('[1]Graphite Qualified Studies'!K9),"",'[1]Graphite Qualified Studies'!K9)</f>
        <v>Natural graphite</v>
      </c>
      <c r="S10" s="4" t="b">
        <v>0</v>
      </c>
      <c r="T10" s="4" t="s">
        <v>159</v>
      </c>
    </row>
    <row r="11" spans="1:20" x14ac:dyDescent="0.3">
      <c r="G11" s="1" t="str">
        <f>IF(H11="Ecoinvent Version 3.9.1","","ERROR - check row order of Notion export")</f>
        <v/>
      </c>
      <c r="H11" s="3" t="str">
        <f>IF(ISBLANK('[1]Graphite Qualified Studies'!A10),"",'[1]Graphite Qualified Studies'!A10)</f>
        <v>Ecoinvent Version 3.9.1</v>
      </c>
      <c r="I11" s="3" t="str">
        <f>IF(ISBLANK('[1]Graphite Qualified Studies'!B10),"",'[1]Graphite Qualified Studies'!B10)</f>
        <v>China</v>
      </c>
      <c r="J11" s="3" t="str">
        <f>IF(ISBLANK('[1]Graphite Qualified Studies'!C10),"",'[1]Graphite Qualified Studies'!C10)</f>
        <v>https://ecoquery.ecoinvent.org/3.9.1/cutoff/dataset/24786/impact_assessment</v>
      </c>
      <c r="K11" s="3" t="str">
        <f>IF(ISBLANK('[1]Graphite Qualified Studies'!D10),"",'[1]Graphite Qualified Studies'!D10)</f>
        <v>Database</v>
      </c>
      <c r="L11" s="3" t="str">
        <f>IF(ISBLANK('[1]Graphite Qualified Studies'!E10),"",'[1]Graphite Qualified Studies'!E10)</f>
        <v>5.3848 kg CO2-Eq / kg Synthetic Graphite</v>
      </c>
      <c r="M11" s="3" t="str">
        <f>IF(ISBLANK('[1]Graphite Qualified Studies'!F10),"",'[1]Graphite Qualified Studies'!F10)</f>
        <v>5.3848 kgCO2-eq/kg_G</v>
      </c>
      <c r="N11" s="3" t="str">
        <f>IF(ISBLANK('[1]Graphite Qualified Studies'!G10),"",'[1]Graphite Qualified Studies'!G10)</f>
        <v/>
      </c>
      <c r="O11" s="3" t="str">
        <f>IF(ISBLANK('[1]Graphite Qualified Studies'!H10),"",'[1]Graphite Qualified Studies'!H10)</f>
        <v>1 kg of Synthetic Graphite, Battery Grade</v>
      </c>
      <c r="P11" s="3" t="str">
        <f>IF(ISBLANK('[1]Graphite Qualified Studies'!I10),"",'[1]Graphite Qualified Studies'!I10)</f>
        <v/>
      </c>
      <c r="Q11" s="3" t="str">
        <f>IF(ISBLANK('[1]Graphite Qualified Studies'!J10),"",'[1]Graphite Qualified Studies'!J10)</f>
        <v/>
      </c>
      <c r="R11" s="3" t="str">
        <f>IF(ISBLANK('[1]Graphite Qualified Studies'!K10),"",'[1]Graphite Qualified Studies'!K10)</f>
        <v>Synthetic graphite</v>
      </c>
      <c r="S11" s="4" t="b">
        <v>0</v>
      </c>
      <c r="T11" s="4" t="s">
        <v>159</v>
      </c>
    </row>
    <row r="12" spans="1:20" x14ac:dyDescent="0.3">
      <c r="G12" s="1" t="str">
        <f>IF(H12="Ecoinvent Version 3.9.1","","ERROR - check row order of Notion export")</f>
        <v/>
      </c>
      <c r="H12" s="3" t="str">
        <f>IF(ISBLANK('[1]Graphite Qualified Studies'!A11),"",'[1]Graphite Qualified Studies'!A11)</f>
        <v>Ecoinvent Version 3.9.1</v>
      </c>
      <c r="I12" s="3" t="str">
        <f>IF(ISBLANK('[1]Graphite Qualified Studies'!B11),"",'[1]Graphite Qualified Studies'!B11)</f>
        <v>Rest of World</v>
      </c>
      <c r="J12" s="3" t="str">
        <f>IF(ISBLANK('[1]Graphite Qualified Studies'!C11),"",'[1]Graphite Qualified Studies'!C11)</f>
        <v>https://ecoquery.ecoinvent.org/3.9.1/cutoff/dataset/25146/impact_assessment</v>
      </c>
      <c r="K12" s="3" t="str">
        <f>IF(ISBLANK('[1]Graphite Qualified Studies'!D11),"",'[1]Graphite Qualified Studies'!D11)</f>
        <v>Database</v>
      </c>
      <c r="L12" s="3" t="str">
        <f>IF(ISBLANK('[1]Graphite Qualified Studies'!E11),"",'[1]Graphite Qualified Studies'!E11)</f>
        <v>3.9554 kg CO2-Eq / kg Synthetic Graphite</v>
      </c>
      <c r="M12" s="3" t="str">
        <f>IF(ISBLANK('[1]Graphite Qualified Studies'!F11),"",'[1]Graphite Qualified Studies'!F11)</f>
        <v>3.9554 kgCO2-eq/kg_G</v>
      </c>
      <c r="N12" s="3" t="str">
        <f>IF(ISBLANK('[1]Graphite Qualified Studies'!G11),"",'[1]Graphite Qualified Studies'!G11)</f>
        <v/>
      </c>
      <c r="O12" s="3" t="str">
        <f>IF(ISBLANK('[1]Graphite Qualified Studies'!H11),"",'[1]Graphite Qualified Studies'!H11)</f>
        <v>1 kg f Synthetic Graphite, Battery Grade</v>
      </c>
      <c r="P12" s="3" t="str">
        <f>IF(ISBLANK('[1]Graphite Qualified Studies'!I11),"",'[1]Graphite Qualified Studies'!I11)</f>
        <v/>
      </c>
      <c r="Q12" s="3" t="str">
        <f>IF(ISBLANK('[1]Graphite Qualified Studies'!J11),"",'[1]Graphite Qualified Studies'!J11)</f>
        <v/>
      </c>
      <c r="R12" s="3" t="str">
        <f>IF(ISBLANK('[1]Graphite Qualified Studies'!K11),"",'[1]Graphite Qualified Studies'!K11)</f>
        <v>Synthetic graphite</v>
      </c>
      <c r="S12" s="4" t="b">
        <v>0</v>
      </c>
      <c r="T12" s="4" t="s">
        <v>159</v>
      </c>
    </row>
    <row r="13" spans="1:20" x14ac:dyDescent="0.3">
      <c r="G13" s="1" t="str">
        <f>IF(H13="","","ERROR - check row order of Notion export")</f>
        <v/>
      </c>
      <c r="H13" s="3" t="str">
        <f>IF(ISBLANK('[1]Graphite Qualified Studies'!A12),"",'[1]Graphite Qualified Studies'!A12)</f>
        <v/>
      </c>
      <c r="I13" s="3" t="str">
        <f>IF(ISBLANK('[1]Graphite Qualified Studies'!B12),"",'[1]Graphite Qualified Studies'!B12)</f>
        <v/>
      </c>
      <c r="J13" s="3" t="str">
        <f>IF(ISBLANK('[1]Graphite Qualified Studies'!C12),"",'[1]Graphite Qualified Studies'!C12)</f>
        <v/>
      </c>
      <c r="K13" s="3" t="str">
        <f>IF(ISBLANK('[1]Graphite Qualified Studies'!D12),"",'[1]Graphite Qualified Studies'!D12)</f>
        <v/>
      </c>
      <c r="L13" s="3" t="str">
        <f>IF(ISBLANK('[1]Graphite Qualified Studies'!E12),"",'[1]Graphite Qualified Studies'!E12)</f>
        <v/>
      </c>
      <c r="M13" s="3" t="str">
        <f>IF(ISBLANK('[1]Graphite Qualified Studies'!F12),"",'[1]Graphite Qualified Studies'!F12)</f>
        <v/>
      </c>
      <c r="N13" s="3" t="str">
        <f>IF(ISBLANK('[1]Graphite Qualified Studies'!G12),"",'[1]Graphite Qualified Studies'!G12)</f>
        <v/>
      </c>
      <c r="O13" s="3" t="str">
        <f>IF(ISBLANK('[1]Graphite Qualified Studies'!H12),"",'[1]Graphite Qualified Studies'!H12)</f>
        <v/>
      </c>
      <c r="P13" s="3" t="str">
        <f>IF(ISBLANK('[1]Graphite Qualified Studies'!I12),"",'[1]Graphite Qualified Studies'!I12)</f>
        <v/>
      </c>
      <c r="Q13" s="3" t="str">
        <f>IF(ISBLANK('[1]Graphite Qualified Studies'!J12),"",'[1]Graphite Qualified Studies'!J12)</f>
        <v/>
      </c>
      <c r="R13" s="3" t="str">
        <f>IF(ISBLANK('[1]Graphite Qualified Studies'!K12),"",'[1]Graphite Qualified Studies'!K12)</f>
        <v/>
      </c>
      <c r="S13" s="4"/>
      <c r="T13" s="4"/>
    </row>
    <row r="14" spans="1:20" x14ac:dyDescent="0.3">
      <c r="G14" s="1" t="str">
        <f>IF(H14="","","ERROR - check row order of Notion export")</f>
        <v/>
      </c>
      <c r="H14" s="3" t="str">
        <f>IF(ISBLANK('[1]Graphite Qualified Studies'!A13),"",'[1]Graphite Qualified Studies'!A13)</f>
        <v/>
      </c>
      <c r="I14" s="3" t="str">
        <f>IF(ISBLANK('[1]Graphite Qualified Studies'!B13),"",'[1]Graphite Qualified Studies'!B13)</f>
        <v/>
      </c>
      <c r="J14" s="3" t="str">
        <f>IF(ISBLANK('[1]Graphite Qualified Studies'!C13),"",'[1]Graphite Qualified Studies'!C13)</f>
        <v/>
      </c>
      <c r="K14" s="3" t="str">
        <f>IF(ISBLANK('[1]Graphite Qualified Studies'!D13),"",'[1]Graphite Qualified Studies'!D13)</f>
        <v/>
      </c>
      <c r="L14" s="3" t="str">
        <f>IF(ISBLANK('[1]Graphite Qualified Studies'!E13),"",'[1]Graphite Qualified Studies'!E13)</f>
        <v/>
      </c>
      <c r="M14" s="3" t="str">
        <f>IF(ISBLANK('[1]Graphite Qualified Studies'!F13),"",'[1]Graphite Qualified Studies'!F13)</f>
        <v/>
      </c>
      <c r="N14" s="3" t="str">
        <f>IF(ISBLANK('[1]Graphite Qualified Studies'!G13),"",'[1]Graphite Qualified Studies'!G13)</f>
        <v/>
      </c>
      <c r="O14" s="3" t="str">
        <f>IF(ISBLANK('[1]Graphite Qualified Studies'!H13),"",'[1]Graphite Qualified Studies'!H13)</f>
        <v/>
      </c>
      <c r="P14" s="3" t="str">
        <f>IF(ISBLANK('[1]Graphite Qualified Studies'!I13),"",'[1]Graphite Qualified Studies'!I13)</f>
        <v/>
      </c>
      <c r="Q14" s="3" t="str">
        <f>IF(ISBLANK('[1]Graphite Qualified Studies'!J13),"",'[1]Graphite Qualified Studies'!J13)</f>
        <v/>
      </c>
      <c r="R14" s="3" t="str">
        <f>IF(ISBLANK('[1]Graphite Qualified Studies'!K13),"",'[1]Graphite Qualified Studies'!K13)</f>
        <v/>
      </c>
      <c r="S14" s="4"/>
      <c r="T14" s="4"/>
    </row>
    <row r="15" spans="1:20" x14ac:dyDescent="0.3">
      <c r="G15" s="1" t="str">
        <f>IF(H15="","","ERROR - check row order of Notion export")</f>
        <v/>
      </c>
      <c r="H15" s="3" t="str">
        <f>IF(ISBLANK('[1]Graphite Qualified Studies'!A14),"",'[1]Graphite Qualified Studies'!A14)</f>
        <v/>
      </c>
      <c r="I15" s="3" t="str">
        <f>IF(ISBLANK('[1]Graphite Qualified Studies'!B14),"",'[1]Graphite Qualified Studies'!B14)</f>
        <v/>
      </c>
      <c r="J15" s="3" t="str">
        <f>IF(ISBLANK('[1]Graphite Qualified Studies'!C14),"",'[1]Graphite Qualified Studies'!C14)</f>
        <v/>
      </c>
      <c r="K15" s="3" t="str">
        <f>IF(ISBLANK('[1]Graphite Qualified Studies'!D14),"",'[1]Graphite Qualified Studies'!D14)</f>
        <v/>
      </c>
      <c r="L15" s="3" t="str">
        <f>IF(ISBLANK('[1]Graphite Qualified Studies'!E14),"",'[1]Graphite Qualified Studies'!E14)</f>
        <v/>
      </c>
      <c r="M15" s="3" t="str">
        <f>IF(ISBLANK('[1]Graphite Qualified Studies'!F14),"",'[1]Graphite Qualified Studies'!F14)</f>
        <v/>
      </c>
      <c r="N15" s="3" t="str">
        <f>IF(ISBLANK('[1]Graphite Qualified Studies'!G14),"",'[1]Graphite Qualified Studies'!G14)</f>
        <v/>
      </c>
      <c r="O15" s="3" t="str">
        <f>IF(ISBLANK('[1]Graphite Qualified Studies'!H14),"",'[1]Graphite Qualified Studies'!H14)</f>
        <v/>
      </c>
      <c r="P15" s="3" t="str">
        <f>IF(ISBLANK('[1]Graphite Qualified Studies'!I14),"",'[1]Graphite Qualified Studies'!I14)</f>
        <v/>
      </c>
      <c r="Q15" s="3" t="str">
        <f>IF(ISBLANK('[1]Graphite Qualified Studies'!J14),"",'[1]Graphite Qualified Studies'!J14)</f>
        <v/>
      </c>
      <c r="R15" s="3" t="str">
        <f>IF(ISBLANK('[1]Graphite Qualified Studies'!K14),"",'[1]Graphite Qualified Studies'!K14)</f>
        <v/>
      </c>
      <c r="S15" s="4"/>
      <c r="T15" s="4"/>
    </row>
    <row r="16" spans="1:20" x14ac:dyDescent="0.3">
      <c r="G16" s="1" t="str">
        <f>IF(H16="","","ERROR - check row order of Notion export")</f>
        <v/>
      </c>
      <c r="H16" s="3" t="str">
        <f>IF(ISBLANK('[1]Graphite Qualified Studies'!A15),"",'[1]Graphite Qualified Studies'!A15)</f>
        <v/>
      </c>
      <c r="I16" s="3" t="str">
        <f>IF(ISBLANK('[1]Graphite Qualified Studies'!B15),"",'[1]Graphite Qualified Studies'!B15)</f>
        <v/>
      </c>
      <c r="J16" s="3" t="str">
        <f>IF(ISBLANK('[1]Graphite Qualified Studies'!C15),"",'[1]Graphite Qualified Studies'!C15)</f>
        <v/>
      </c>
      <c r="K16" s="3" t="str">
        <f>IF(ISBLANK('[1]Graphite Qualified Studies'!D15),"",'[1]Graphite Qualified Studies'!D15)</f>
        <v/>
      </c>
      <c r="L16" s="3" t="str">
        <f>IF(ISBLANK('[1]Graphite Qualified Studies'!E15),"",'[1]Graphite Qualified Studies'!E15)</f>
        <v/>
      </c>
      <c r="M16" s="3" t="str">
        <f>IF(ISBLANK('[1]Graphite Qualified Studies'!F15),"",'[1]Graphite Qualified Studies'!F15)</f>
        <v/>
      </c>
      <c r="N16" s="3" t="str">
        <f>IF(ISBLANK('[1]Graphite Qualified Studies'!G15),"",'[1]Graphite Qualified Studies'!G15)</f>
        <v/>
      </c>
      <c r="O16" s="3" t="str">
        <f>IF(ISBLANK('[1]Graphite Qualified Studies'!H15),"",'[1]Graphite Qualified Studies'!H15)</f>
        <v/>
      </c>
      <c r="P16" s="3" t="str">
        <f>IF(ISBLANK('[1]Graphite Qualified Studies'!I15),"",'[1]Graphite Qualified Studies'!I15)</f>
        <v/>
      </c>
      <c r="Q16" s="3" t="str">
        <f>IF(ISBLANK('[1]Graphite Qualified Studies'!J15),"",'[1]Graphite Qualified Studies'!J15)</f>
        <v/>
      </c>
      <c r="R16" s="3" t="str">
        <f>IF(ISBLANK('[1]Graphite Qualified Studies'!K15),"",'[1]Graphite Qualified Studies'!K15)</f>
        <v/>
      </c>
      <c r="S16" s="4"/>
      <c r="T16" s="4"/>
    </row>
    <row r="17" spans="7:20" x14ac:dyDescent="0.3">
      <c r="G17" s="1" t="str">
        <f>IF(H17="","","ERROR - check row order of Notion export")</f>
        <v/>
      </c>
      <c r="H17" s="3" t="str">
        <f>IF(ISBLANK('[1]Graphite Qualified Studies'!A16),"",'[1]Graphite Qualified Studies'!A16)</f>
        <v/>
      </c>
      <c r="I17" s="3" t="str">
        <f>IF(ISBLANK('[1]Graphite Qualified Studies'!B16),"",'[1]Graphite Qualified Studies'!B16)</f>
        <v/>
      </c>
      <c r="J17" s="3" t="str">
        <f>IF(ISBLANK('[1]Graphite Qualified Studies'!C16),"",'[1]Graphite Qualified Studies'!C16)</f>
        <v/>
      </c>
      <c r="K17" s="3" t="str">
        <f>IF(ISBLANK('[1]Graphite Qualified Studies'!D16),"",'[1]Graphite Qualified Studies'!D16)</f>
        <v/>
      </c>
      <c r="L17" s="3" t="str">
        <f>IF(ISBLANK('[1]Graphite Qualified Studies'!E16),"",'[1]Graphite Qualified Studies'!E16)</f>
        <v/>
      </c>
      <c r="M17" s="3" t="str">
        <f>IF(ISBLANK('[1]Graphite Qualified Studies'!F16),"",'[1]Graphite Qualified Studies'!F16)</f>
        <v/>
      </c>
      <c r="N17" s="3" t="str">
        <f>IF(ISBLANK('[1]Graphite Qualified Studies'!G16),"",'[1]Graphite Qualified Studies'!G16)</f>
        <v/>
      </c>
      <c r="O17" s="3" t="str">
        <f>IF(ISBLANK('[1]Graphite Qualified Studies'!H16),"",'[1]Graphite Qualified Studies'!H16)</f>
        <v/>
      </c>
      <c r="P17" s="3" t="str">
        <f>IF(ISBLANK('[1]Graphite Qualified Studies'!I16),"",'[1]Graphite Qualified Studies'!I16)</f>
        <v/>
      </c>
      <c r="Q17" s="3" t="str">
        <f>IF(ISBLANK('[1]Graphite Qualified Studies'!J16),"",'[1]Graphite Qualified Studies'!J16)</f>
        <v/>
      </c>
      <c r="R17" s="3" t="str">
        <f>IF(ISBLANK('[1]Graphite Qualified Studies'!K16),"",'[1]Graphite Qualified Studies'!K16)</f>
        <v/>
      </c>
      <c r="S17" s="4"/>
      <c r="T17" s="4"/>
    </row>
  </sheetData>
  <mergeCells count="3">
    <mergeCell ref="A1:F1"/>
    <mergeCell ref="H1:R1"/>
    <mergeCell ref="S1:T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71CB-AB94-43A1-A36F-84DFB5C6CFD1}">
  <dimension ref="A1:BS63"/>
  <sheetViews>
    <sheetView zoomScale="70" zoomScaleNormal="70" workbookViewId="0">
      <selection sqref="A1:F1"/>
    </sheetView>
  </sheetViews>
  <sheetFormatPr defaultColWidth="10.6640625" defaultRowHeight="14.4" x14ac:dyDescent="0.3"/>
  <cols>
    <col min="1" max="1" width="30.21875" style="45" customWidth="1"/>
    <col min="2" max="2" width="18.109375" style="45" customWidth="1"/>
    <col min="3" max="3" width="16.88671875" style="45" customWidth="1"/>
    <col min="4" max="4" width="16.21875" style="45" customWidth="1"/>
    <col min="5" max="5" width="29.109375" style="6" customWidth="1"/>
    <col min="6" max="6" width="28.5546875" style="6" customWidth="1"/>
    <col min="7" max="7" width="12.6640625" style="6" customWidth="1"/>
    <col min="8" max="13" width="10.6640625" style="1"/>
    <col min="14" max="14" width="9.109375" style="1" customWidth="1"/>
    <col min="15" max="18" width="10.6640625" style="6"/>
    <col min="19" max="19" width="36.44140625" style="6" customWidth="1"/>
    <col min="20" max="20" width="29.21875" style="6" customWidth="1"/>
    <col min="21" max="28" width="10.6640625" style="6"/>
    <col min="29" max="29" width="13" style="6" customWidth="1"/>
    <col min="30" max="30" width="20.44140625" style="6" customWidth="1"/>
    <col min="31" max="55" width="10.6640625" style="6"/>
    <col min="56" max="56" width="11.33203125" style="6" bestFit="1" customWidth="1"/>
    <col min="57" max="57" width="43.88671875" style="6" customWidth="1"/>
    <col min="58" max="58" width="27.21875" style="6" customWidth="1"/>
    <col min="59" max="59" width="19.5546875" style="6" customWidth="1"/>
    <col min="60" max="66" width="10.6640625" style="6"/>
    <col min="67" max="67" width="17.109375" style="6" customWidth="1"/>
    <col min="68" max="68" width="16.21875" style="6" customWidth="1"/>
    <col min="69" max="69" width="49.109375" style="6" customWidth="1"/>
    <col min="70" max="16384" width="10.6640625" style="6"/>
  </cols>
  <sheetData>
    <row r="1" spans="1:59" x14ac:dyDescent="0.3">
      <c r="A1" s="85" t="s">
        <v>107</v>
      </c>
      <c r="B1" s="85"/>
      <c r="C1" s="85"/>
      <c r="D1" s="85"/>
      <c r="E1" s="85"/>
      <c r="F1" s="85"/>
      <c r="G1" s="35"/>
      <c r="H1" s="89" t="s">
        <v>149</v>
      </c>
      <c r="I1" s="89"/>
      <c r="J1" s="89"/>
      <c r="K1" s="89"/>
      <c r="L1" s="89"/>
      <c r="M1" s="89"/>
      <c r="O1" s="10" t="s">
        <v>103</v>
      </c>
      <c r="P1" s="5"/>
      <c r="Q1" s="5"/>
      <c r="R1" s="5"/>
      <c r="S1" s="5"/>
      <c r="T1" s="5"/>
      <c r="U1" s="8"/>
      <c r="V1" s="8"/>
      <c r="W1" s="8"/>
      <c r="X1" s="8"/>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row>
    <row r="2" spans="1:59" ht="19.05" customHeight="1" x14ac:dyDescent="0.3">
      <c r="A2" s="2" t="s">
        <v>33</v>
      </c>
      <c r="B2" s="2" t="s">
        <v>22</v>
      </c>
      <c r="C2" s="2" t="s">
        <v>6</v>
      </c>
      <c r="D2" s="2" t="s">
        <v>31</v>
      </c>
      <c r="E2" s="2" t="s">
        <v>10</v>
      </c>
      <c r="F2" s="2" t="s">
        <v>140</v>
      </c>
      <c r="H2" s="3" t="s">
        <v>33</v>
      </c>
      <c r="I2" s="3" t="s">
        <v>22</v>
      </c>
      <c r="J2" s="3" t="s">
        <v>6</v>
      </c>
      <c r="K2" s="3" t="s">
        <v>31</v>
      </c>
      <c r="L2" s="3" t="s">
        <v>10</v>
      </c>
      <c r="M2" s="3" t="s">
        <v>150</v>
      </c>
      <c r="N2" s="1" t="s">
        <v>35</v>
      </c>
      <c r="O2" s="90" t="s">
        <v>44</v>
      </c>
      <c r="P2" s="91"/>
      <c r="Q2" s="91"/>
      <c r="R2" s="92"/>
      <c r="S2" s="24"/>
      <c r="T2" s="90" t="s">
        <v>45</v>
      </c>
      <c r="U2" s="91"/>
      <c r="V2" s="91"/>
      <c r="W2" s="92"/>
      <c r="X2" s="24"/>
      <c r="Y2" s="90" t="s">
        <v>46</v>
      </c>
      <c r="Z2" s="91"/>
      <c r="AA2" s="91"/>
      <c r="AB2" s="92"/>
      <c r="AC2" s="24"/>
      <c r="AD2" s="90" t="s">
        <v>147</v>
      </c>
      <c r="AE2" s="91"/>
      <c r="AF2" s="91"/>
      <c r="AG2" s="92"/>
      <c r="AH2" s="24"/>
      <c r="AI2" s="90" t="s">
        <v>148</v>
      </c>
      <c r="AJ2" s="91"/>
      <c r="AK2" s="91"/>
      <c r="AL2" s="92"/>
      <c r="AM2" s="24"/>
      <c r="AN2" s="90" t="s">
        <v>61</v>
      </c>
      <c r="AO2" s="91"/>
      <c r="AP2" s="91"/>
      <c r="AQ2" s="92"/>
      <c r="AR2" s="24"/>
      <c r="AS2" s="90" t="s">
        <v>43</v>
      </c>
      <c r="AT2" s="91"/>
      <c r="AU2" s="91"/>
      <c r="AV2" s="92"/>
      <c r="AW2" s="5"/>
      <c r="AX2" s="93" t="s">
        <v>98</v>
      </c>
      <c r="AY2" s="94"/>
      <c r="AZ2" s="94"/>
      <c r="BA2" s="95"/>
    </row>
    <row r="3" spans="1:59" ht="28.8" x14ac:dyDescent="0.3">
      <c r="A3" s="14" t="str">
        <f>H3</f>
        <v>Wei et al (2020)</v>
      </c>
      <c r="B3" s="50">
        <f t="shared" ref="B3:C9" si="0">I3*$J$17</f>
        <v>1.6617047013230266</v>
      </c>
      <c r="C3" s="50">
        <f t="shared" si="0"/>
        <v>0.15106406375661105</v>
      </c>
      <c r="D3" s="50">
        <f t="shared" ref="D3:D9" si="1">K3*$J$17+$H$30</f>
        <v>2.0027392725227009</v>
      </c>
      <c r="E3" s="50">
        <f t="shared" ref="E3:E9" si="2">L3*$J$17</f>
        <v>2.366670332187335</v>
      </c>
      <c r="F3" s="50">
        <f t="shared" ref="F3:F9" si="3">M3*$J$17+$H$30</f>
        <v>6.1821783697896731</v>
      </c>
      <c r="H3" s="7" t="str">
        <f>O2</f>
        <v>Wei et al (2020)</v>
      </c>
      <c r="I3" s="51">
        <f>R20</f>
        <v>4.1621621621621898</v>
      </c>
      <c r="J3" s="51">
        <f>R21</f>
        <v>0.37837837837831145</v>
      </c>
      <c r="K3" s="51">
        <f>R22</f>
        <v>3.5315315315315461</v>
      </c>
      <c r="L3" s="51">
        <f>R23</f>
        <v>5.9279279279279526</v>
      </c>
      <c r="M3" s="7">
        <f>R24</f>
        <v>14</v>
      </c>
      <c r="N3" s="1" t="s">
        <v>35</v>
      </c>
      <c r="O3" s="19" t="s">
        <v>12</v>
      </c>
      <c r="P3" s="9">
        <f>R16</f>
        <v>14</v>
      </c>
      <c r="Q3" s="9" t="s">
        <v>48</v>
      </c>
      <c r="R3" s="20"/>
      <c r="S3" s="9"/>
      <c r="T3" s="19" t="s">
        <v>12</v>
      </c>
      <c r="U3" s="21">
        <f>W13</f>
        <v>11.4</v>
      </c>
      <c r="V3" s="9" t="s">
        <v>48</v>
      </c>
      <c r="W3" s="20"/>
      <c r="X3" s="9"/>
      <c r="Y3" s="19" t="s">
        <v>12</v>
      </c>
      <c r="Z3" s="21">
        <f>AB13</f>
        <v>7.65</v>
      </c>
      <c r="AA3" s="9" t="s">
        <v>48</v>
      </c>
      <c r="AB3" s="20"/>
      <c r="AC3" s="9"/>
      <c r="AD3" s="19" t="s">
        <v>12</v>
      </c>
      <c r="AE3" s="21">
        <f>AG13</f>
        <v>24.3</v>
      </c>
      <c r="AF3" s="9" t="s">
        <v>48</v>
      </c>
      <c r="AG3" s="20"/>
      <c r="AH3" s="9"/>
      <c r="AI3" s="19" t="s">
        <v>12</v>
      </c>
      <c r="AJ3" s="21">
        <f>AL13</f>
        <v>18.5</v>
      </c>
      <c r="AK3" s="9" t="s">
        <v>48</v>
      </c>
      <c r="AL3" s="20"/>
      <c r="AM3" s="9"/>
      <c r="AN3" s="19" t="s">
        <v>12</v>
      </c>
      <c r="AO3" s="21">
        <f>AQ13</f>
        <v>26.885999999999999</v>
      </c>
      <c r="AP3" s="9" t="s">
        <v>48</v>
      </c>
      <c r="AQ3" s="20"/>
      <c r="AR3" s="9"/>
      <c r="AS3" s="19" t="s">
        <v>12</v>
      </c>
      <c r="AT3" s="21">
        <v>13</v>
      </c>
      <c r="AU3" s="9" t="s">
        <v>48</v>
      </c>
      <c r="AV3" s="20"/>
      <c r="AW3" s="5"/>
      <c r="AX3" s="19" t="s">
        <v>12</v>
      </c>
      <c r="AY3" s="52">
        <v>3.92</v>
      </c>
      <c r="AZ3" s="9" t="s">
        <v>674</v>
      </c>
      <c r="BA3" s="20"/>
    </row>
    <row r="4" spans="1:59" ht="43.5" customHeight="1" x14ac:dyDescent="0.3">
      <c r="A4" s="14" t="str">
        <f t="shared" ref="A4:A9" si="4">H4</f>
        <v>Norgate &amp; Rankin (2000)</v>
      </c>
      <c r="B4" s="50">
        <f t="shared" si="0"/>
        <v>1.1441927351016592</v>
      </c>
      <c r="C4" s="50">
        <f t="shared" si="0"/>
        <v>0</v>
      </c>
      <c r="D4" s="50">
        <f t="shared" si="1"/>
        <v>3.9999597108745464</v>
      </c>
      <c r="E4" s="50">
        <f t="shared" si="2"/>
        <v>0</v>
      </c>
      <c r="F4" s="50">
        <f t="shared" si="3"/>
        <v>5.1441524459762054</v>
      </c>
      <c r="H4" s="7" t="str">
        <f>T2</f>
        <v>Norgate &amp; Rankin (2000)</v>
      </c>
      <c r="I4" s="51">
        <f>W20</f>
        <v>2.8659217877095133</v>
      </c>
      <c r="J4" s="51">
        <f>W21</f>
        <v>0</v>
      </c>
      <c r="K4" s="51">
        <f>W22</f>
        <v>8.5340782122904866</v>
      </c>
      <c r="L4" s="51">
        <f>W23</f>
        <v>0</v>
      </c>
      <c r="M4" s="51">
        <f>W24</f>
        <v>11.4</v>
      </c>
      <c r="N4" s="1" t="s">
        <v>35</v>
      </c>
      <c r="O4" s="19"/>
      <c r="P4" s="9"/>
      <c r="Q4" s="9"/>
      <c r="R4" s="20"/>
      <c r="S4" s="9"/>
      <c r="T4" s="19"/>
      <c r="U4" s="9"/>
      <c r="V4" s="9"/>
      <c r="W4" s="20"/>
      <c r="X4" s="9"/>
      <c r="Y4" s="19"/>
      <c r="Z4" s="9"/>
      <c r="AA4" s="9"/>
      <c r="AB4" s="20"/>
      <c r="AC4" s="9"/>
      <c r="AD4" s="19"/>
      <c r="AE4" s="9"/>
      <c r="AF4" s="9"/>
      <c r="AG4" s="20"/>
      <c r="AH4" s="9"/>
      <c r="AI4" s="19"/>
      <c r="AJ4" s="9"/>
      <c r="AK4" s="9"/>
      <c r="AL4" s="20"/>
      <c r="AM4" s="9"/>
      <c r="AN4" s="19"/>
      <c r="AO4" s="9"/>
      <c r="AP4" s="9"/>
      <c r="AQ4" s="20"/>
      <c r="AR4" s="9"/>
      <c r="AS4" s="19"/>
      <c r="AT4" s="9"/>
      <c r="AU4" s="9"/>
      <c r="AV4" s="20"/>
      <c r="AW4" s="5"/>
      <c r="AX4" s="19"/>
      <c r="AY4" s="5"/>
      <c r="AZ4" s="5"/>
      <c r="BA4" s="20"/>
      <c r="BG4" s="53"/>
    </row>
    <row r="5" spans="1:59" ht="58.05" customHeight="1" x14ac:dyDescent="0.3">
      <c r="A5" s="14" t="str">
        <f t="shared" si="4"/>
        <v>Mistry et al (2016)</v>
      </c>
      <c r="B5" s="50">
        <f t="shared" si="0"/>
        <v>0.8144511094536443</v>
      </c>
      <c r="C5" s="50">
        <f t="shared" si="0"/>
        <v>0</v>
      </c>
      <c r="D5" s="50">
        <f t="shared" si="1"/>
        <v>2.4572622662590362</v>
      </c>
      <c r="E5" s="50">
        <f t="shared" si="2"/>
        <v>0.37528629553256154</v>
      </c>
      <c r="F5" s="50">
        <f t="shared" si="3"/>
        <v>3.6469996712452417</v>
      </c>
      <c r="H5" s="7" t="str">
        <f>Y2</f>
        <v>Mistry et al (2016)</v>
      </c>
      <c r="I5" s="51">
        <f>AB20</f>
        <v>2.04</v>
      </c>
      <c r="J5" s="51">
        <f>AB21</f>
        <v>0</v>
      </c>
      <c r="K5" s="51">
        <f>AB22</f>
        <v>4.67</v>
      </c>
      <c r="L5" s="51">
        <f>AB23</f>
        <v>0.94</v>
      </c>
      <c r="M5" s="51">
        <f>AB24</f>
        <v>7.65</v>
      </c>
      <c r="N5" s="1" t="s">
        <v>35</v>
      </c>
      <c r="O5" s="36" t="s">
        <v>17</v>
      </c>
      <c r="P5" s="5" t="s">
        <v>18</v>
      </c>
      <c r="Q5" s="5" t="s">
        <v>15</v>
      </c>
      <c r="R5" s="54" t="s">
        <v>49</v>
      </c>
      <c r="S5" s="5"/>
      <c r="T5" s="36" t="s">
        <v>17</v>
      </c>
      <c r="U5" s="5" t="s">
        <v>18</v>
      </c>
      <c r="V5" s="5" t="s">
        <v>15</v>
      </c>
      <c r="W5" s="54" t="s">
        <v>49</v>
      </c>
      <c r="X5" s="5"/>
      <c r="Y5" s="36" t="s">
        <v>17</v>
      </c>
      <c r="Z5" s="5" t="s">
        <v>18</v>
      </c>
      <c r="AA5" s="5" t="s">
        <v>15</v>
      </c>
      <c r="AB5" s="54" t="s">
        <v>49</v>
      </c>
      <c r="AC5" s="9"/>
      <c r="AD5" s="36" t="s">
        <v>17</v>
      </c>
      <c r="AE5" s="5" t="s">
        <v>18</v>
      </c>
      <c r="AF5" s="5" t="s">
        <v>15</v>
      </c>
      <c r="AG5" s="54" t="s">
        <v>49</v>
      </c>
      <c r="AH5" s="9"/>
      <c r="AI5" s="36" t="s">
        <v>17</v>
      </c>
      <c r="AJ5" s="5" t="s">
        <v>18</v>
      </c>
      <c r="AK5" s="5" t="s">
        <v>15</v>
      </c>
      <c r="AL5" s="54" t="s">
        <v>49</v>
      </c>
      <c r="AM5" s="9"/>
      <c r="AN5" s="36" t="s">
        <v>17</v>
      </c>
      <c r="AO5" s="5" t="s">
        <v>18</v>
      </c>
      <c r="AP5" s="5" t="s">
        <v>15</v>
      </c>
      <c r="AQ5" s="54" t="s">
        <v>49</v>
      </c>
      <c r="AR5" s="9"/>
      <c r="AS5" s="36" t="s">
        <v>17</v>
      </c>
      <c r="AT5" s="5" t="s">
        <v>18</v>
      </c>
      <c r="AU5" s="5" t="s">
        <v>15</v>
      </c>
      <c r="AV5" s="54" t="s">
        <v>49</v>
      </c>
      <c r="AW5" s="5"/>
      <c r="AX5" s="23" t="s">
        <v>17</v>
      </c>
      <c r="AY5" s="24" t="s">
        <v>18</v>
      </c>
      <c r="AZ5" s="24" t="s">
        <v>15</v>
      </c>
      <c r="BA5" s="25" t="s">
        <v>38</v>
      </c>
    </row>
    <row r="6" spans="1:59" ht="43.5" customHeight="1" x14ac:dyDescent="0.3">
      <c r="A6" s="14" t="str">
        <f t="shared" si="4"/>
        <v>Bai et al (2022) GFEM</v>
      </c>
      <c r="B6" s="50">
        <f t="shared" si="0"/>
        <v>5.4296740630242946</v>
      </c>
      <c r="C6" s="50">
        <f t="shared" si="0"/>
        <v>0</v>
      </c>
      <c r="D6" s="50">
        <f t="shared" si="1"/>
        <v>4.7369268912493832</v>
      </c>
      <c r="E6" s="50">
        <f t="shared" si="2"/>
        <v>0.12775703677704223</v>
      </c>
      <c r="F6" s="50">
        <f t="shared" si="3"/>
        <v>10.294357991050722</v>
      </c>
      <c r="H6" s="7" t="str">
        <f>AD2</f>
        <v>Bai et al (2022) GFEM</v>
      </c>
      <c r="I6" s="51">
        <f>AG20</f>
        <v>13.6</v>
      </c>
      <c r="J6" s="47">
        <f>AG21</f>
        <v>0</v>
      </c>
      <c r="K6" s="51">
        <f>AG22</f>
        <v>10.38</v>
      </c>
      <c r="L6" s="51">
        <f>AG23</f>
        <v>0.32</v>
      </c>
      <c r="M6" s="51">
        <f>AG24</f>
        <v>24.3</v>
      </c>
      <c r="N6" s="1" t="s">
        <v>35</v>
      </c>
      <c r="O6" s="19" t="s">
        <v>22</v>
      </c>
      <c r="P6" s="9" t="s">
        <v>22</v>
      </c>
      <c r="Q6" s="26">
        <f t="shared" ref="Q6:Q11" si="5">R6/$P$3</f>
        <v>0.29729729729729926</v>
      </c>
      <c r="R6" s="20">
        <v>4.1621621621621898</v>
      </c>
      <c r="S6" s="9"/>
      <c r="T6" s="19" t="s">
        <v>40</v>
      </c>
      <c r="U6" s="9" t="s">
        <v>22</v>
      </c>
      <c r="V6" s="26">
        <f>W6/W$13</f>
        <v>8.9385474860335268E-2</v>
      </c>
      <c r="W6" s="34">
        <v>1.0189944134078222</v>
      </c>
      <c r="X6" s="9"/>
      <c r="Y6" s="19" t="s">
        <v>40</v>
      </c>
      <c r="Z6" s="9" t="s">
        <v>22</v>
      </c>
      <c r="AA6" s="26">
        <f t="shared" ref="AA6:AA11" si="6">AB6/AB$13</f>
        <v>0.18300653594771241</v>
      </c>
      <c r="AB6" s="34">
        <v>1.4</v>
      </c>
      <c r="AC6" s="9"/>
      <c r="AD6" s="19" t="s">
        <v>22</v>
      </c>
      <c r="AE6" s="9" t="s">
        <v>22</v>
      </c>
      <c r="AF6" s="26">
        <f>AG6/AG$13</f>
        <v>0.55967078189300412</v>
      </c>
      <c r="AG6" s="34">
        <v>13.6</v>
      </c>
      <c r="AH6" s="9"/>
      <c r="AI6" s="19" t="s">
        <v>22</v>
      </c>
      <c r="AJ6" s="9" t="s">
        <v>22</v>
      </c>
      <c r="AK6" s="26">
        <f>AL6/AL$13</f>
        <v>0.58918918918918917</v>
      </c>
      <c r="AL6" s="34">
        <v>10.9</v>
      </c>
      <c r="AM6" s="9"/>
      <c r="AN6" s="19" t="s">
        <v>40</v>
      </c>
      <c r="AO6" s="9" t="s">
        <v>22</v>
      </c>
      <c r="AP6" s="26">
        <f>AQ6/AQ$13</f>
        <v>0.30015621513055124</v>
      </c>
      <c r="AQ6" s="20">
        <v>8.07</v>
      </c>
      <c r="AR6" s="9"/>
      <c r="AS6" s="19" t="s">
        <v>40</v>
      </c>
      <c r="AT6" s="9" t="s">
        <v>22</v>
      </c>
      <c r="AU6" s="26">
        <v>0.13</v>
      </c>
      <c r="AV6" s="20">
        <f>AT$3*AU6</f>
        <v>1.69</v>
      </c>
      <c r="AW6" s="5"/>
      <c r="AX6" s="19" t="s">
        <v>39</v>
      </c>
      <c r="AY6" s="9" t="s">
        <v>22</v>
      </c>
      <c r="AZ6" s="26">
        <f>BA6/$AY$3</f>
        <v>0.16836734693877553</v>
      </c>
      <c r="BA6" s="34">
        <v>0.66</v>
      </c>
    </row>
    <row r="7" spans="1:59" ht="28.95" customHeight="1" x14ac:dyDescent="0.3">
      <c r="A7" s="14" t="str">
        <f t="shared" si="4"/>
        <v>Bai et al (2022) LEM</v>
      </c>
      <c r="B7" s="50">
        <f t="shared" si="0"/>
        <v>4.3517240652180016</v>
      </c>
      <c r="C7" s="50">
        <f t="shared" si="0"/>
        <v>0</v>
      </c>
      <c r="D7" s="50">
        <f t="shared" si="1"/>
        <v>3.1120170797413778</v>
      </c>
      <c r="E7" s="50">
        <f t="shared" si="2"/>
        <v>0.51502055450745154</v>
      </c>
      <c r="F7" s="50">
        <f t="shared" si="3"/>
        <v>7.9787616994668298</v>
      </c>
      <c r="H7" s="7" t="str">
        <f>AI2</f>
        <v>Bai et al (2022) LEM</v>
      </c>
      <c r="I7" s="51">
        <f>AL20</f>
        <v>10.9</v>
      </c>
      <c r="J7" s="51">
        <f>AL21</f>
        <v>0</v>
      </c>
      <c r="K7" s="51">
        <f>AL22</f>
        <v>6.3100000000000005</v>
      </c>
      <c r="L7" s="51">
        <f>AL23</f>
        <v>1.29</v>
      </c>
      <c r="M7" s="51">
        <f>AL24</f>
        <v>18.5</v>
      </c>
      <c r="N7" s="1" t="s">
        <v>35</v>
      </c>
      <c r="O7" s="19" t="s">
        <v>9</v>
      </c>
      <c r="P7" s="9" t="s">
        <v>31</v>
      </c>
      <c r="Q7" s="26">
        <f t="shared" si="5"/>
        <v>0</v>
      </c>
      <c r="R7" s="20">
        <v>0</v>
      </c>
      <c r="S7" s="9"/>
      <c r="T7" s="19" t="s">
        <v>52</v>
      </c>
      <c r="U7" s="9" t="s">
        <v>22</v>
      </c>
      <c r="V7" s="26">
        <f>W7/W$13</f>
        <v>0.16201117318435887</v>
      </c>
      <c r="W7" s="34">
        <v>1.8469273743016912</v>
      </c>
      <c r="X7" s="9"/>
      <c r="Y7" s="19" t="s">
        <v>53</v>
      </c>
      <c r="Z7" s="9" t="s">
        <v>22</v>
      </c>
      <c r="AA7" s="26">
        <f t="shared" si="6"/>
        <v>8.3660130718954243E-2</v>
      </c>
      <c r="AB7" s="34">
        <v>0.64</v>
      </c>
      <c r="AC7" s="9"/>
      <c r="AD7" s="19" t="s">
        <v>58</v>
      </c>
      <c r="AE7" s="9" t="s">
        <v>31</v>
      </c>
      <c r="AF7" s="26">
        <f>AG7/AG$13</f>
        <v>0.11193415637860082</v>
      </c>
      <c r="AG7" s="34">
        <v>2.72</v>
      </c>
      <c r="AH7" s="9"/>
      <c r="AI7" s="19" t="s">
        <v>58</v>
      </c>
      <c r="AJ7" s="9" t="s">
        <v>31</v>
      </c>
      <c r="AK7" s="26">
        <f>AL7/AL$13</f>
        <v>0.11837837837837838</v>
      </c>
      <c r="AL7" s="34">
        <v>2.19</v>
      </c>
      <c r="AM7" s="9"/>
      <c r="AN7" s="19" t="s">
        <v>60</v>
      </c>
      <c r="AO7" s="9" t="s">
        <v>31</v>
      </c>
      <c r="AP7" s="26">
        <f>AQ7/AQ$13</f>
        <v>9.67046046269434E-2</v>
      </c>
      <c r="AQ7" s="20">
        <v>2.6</v>
      </c>
      <c r="AR7" s="9"/>
      <c r="AS7" s="19" t="s">
        <v>62</v>
      </c>
      <c r="AT7" s="9" t="s">
        <v>22</v>
      </c>
      <c r="AU7" s="26">
        <v>0.15</v>
      </c>
      <c r="AV7" s="20">
        <f>AT$3*AU7</f>
        <v>1.95</v>
      </c>
      <c r="AW7" s="5"/>
      <c r="AX7" s="19" t="s">
        <v>53</v>
      </c>
      <c r="AY7" s="9" t="s">
        <v>22</v>
      </c>
      <c r="AZ7" s="26">
        <f t="shared" ref="AZ7:AZ16" si="7">BA7/$AY$3</f>
        <v>0.15994897959183674</v>
      </c>
      <c r="BA7" s="34">
        <v>0.627</v>
      </c>
    </row>
    <row r="8" spans="1:59" ht="43.5" customHeight="1" x14ac:dyDescent="0.3">
      <c r="A8" s="14" t="str">
        <f t="shared" si="4"/>
        <v>Deng &amp; Gong (2018)</v>
      </c>
      <c r="B8" s="50">
        <f t="shared" si="0"/>
        <v>3.221872771221034</v>
      </c>
      <c r="C8" s="50">
        <f t="shared" si="0"/>
        <v>0</v>
      </c>
      <c r="D8" s="50">
        <f t="shared" si="1"/>
        <v>7.9388376254740054</v>
      </c>
      <c r="E8" s="50">
        <f t="shared" si="2"/>
        <v>0.1660841478101549</v>
      </c>
      <c r="F8" s="50">
        <f t="shared" si="3"/>
        <v>11.326794544505194</v>
      </c>
      <c r="H8" s="7" t="str">
        <f>AN2</f>
        <v>Deng &amp; Gong (2018)</v>
      </c>
      <c r="I8" s="51">
        <f>AQ20</f>
        <v>8.07</v>
      </c>
      <c r="J8" s="51">
        <f>AQ21</f>
        <v>0</v>
      </c>
      <c r="K8" s="51">
        <f>AQ22</f>
        <v>18.400000000000002</v>
      </c>
      <c r="L8" s="51">
        <f>AQ23</f>
        <v>0.41599999999999998</v>
      </c>
      <c r="M8" s="51">
        <f>AQ24</f>
        <v>26.886000000000003</v>
      </c>
      <c r="N8" s="1" t="s">
        <v>35</v>
      </c>
      <c r="O8" s="19" t="s">
        <v>50</v>
      </c>
      <c r="P8" s="9" t="s">
        <v>31</v>
      </c>
      <c r="Q8" s="26">
        <f t="shared" si="5"/>
        <v>0</v>
      </c>
      <c r="R8" s="34">
        <v>0</v>
      </c>
      <c r="S8" s="9"/>
      <c r="T8" s="19" t="s">
        <v>51</v>
      </c>
      <c r="U8" s="9" t="s">
        <v>31</v>
      </c>
      <c r="V8" s="26">
        <f>W8/W$13</f>
        <v>0.26256983240223614</v>
      </c>
      <c r="W8" s="34">
        <v>2.9932960893854923</v>
      </c>
      <c r="X8" s="9"/>
      <c r="Y8" s="19" t="s">
        <v>54</v>
      </c>
      <c r="Z8" s="9" t="s">
        <v>31</v>
      </c>
      <c r="AA8" s="26">
        <f t="shared" si="6"/>
        <v>1.3071895424836602E-2</v>
      </c>
      <c r="AB8" s="55">
        <v>0.1</v>
      </c>
      <c r="AC8" s="9"/>
      <c r="AD8" s="19" t="s">
        <v>59</v>
      </c>
      <c r="AE8" s="9" t="s">
        <v>31</v>
      </c>
      <c r="AF8" s="26">
        <f>AG8/AG$13</f>
        <v>0.31522633744855966</v>
      </c>
      <c r="AG8" s="55">
        <v>7.66</v>
      </c>
      <c r="AH8" s="9"/>
      <c r="AI8" s="19" t="s">
        <v>59</v>
      </c>
      <c r="AJ8" s="9" t="s">
        <v>31</v>
      </c>
      <c r="AK8" s="26">
        <f>AL8/AL$13</f>
        <v>0.2227027027027027</v>
      </c>
      <c r="AL8" s="55">
        <v>4.12</v>
      </c>
      <c r="AM8" s="9"/>
      <c r="AN8" s="19" t="s">
        <v>51</v>
      </c>
      <c r="AO8" s="9" t="s">
        <v>31</v>
      </c>
      <c r="AP8" s="26">
        <f>AQ8/AQ$13</f>
        <v>0.58766644350219455</v>
      </c>
      <c r="AQ8" s="20">
        <v>15.8</v>
      </c>
      <c r="AR8" s="9"/>
      <c r="AS8" s="19" t="s">
        <v>41</v>
      </c>
      <c r="AT8" s="9" t="s">
        <v>31</v>
      </c>
      <c r="AU8" s="26">
        <v>0.13</v>
      </c>
      <c r="AV8" s="20">
        <f>AT$3*AU8</f>
        <v>1.69</v>
      </c>
      <c r="AW8" s="5"/>
      <c r="AX8" s="19" t="s">
        <v>100</v>
      </c>
      <c r="AY8" s="9" t="s">
        <v>31</v>
      </c>
      <c r="AZ8" s="26">
        <f t="shared" si="7"/>
        <v>0.5892857142857143</v>
      </c>
      <c r="BA8" s="34">
        <v>2.31</v>
      </c>
    </row>
    <row r="9" spans="1:59" ht="43.5" customHeight="1" x14ac:dyDescent="0.3">
      <c r="A9" s="14" t="str">
        <f t="shared" si="4"/>
        <v>Nickel Institute (2021)</v>
      </c>
      <c r="B9" s="50">
        <f t="shared" si="0"/>
        <v>1.4532362933388552</v>
      </c>
      <c r="C9" s="50">
        <f t="shared" si="0"/>
        <v>0.20760518476269363</v>
      </c>
      <c r="D9" s="50">
        <f t="shared" si="1"/>
        <v>4.1220961517598678</v>
      </c>
      <c r="E9" s="50">
        <f t="shared" si="2"/>
        <v>0</v>
      </c>
      <c r="F9" s="50">
        <f t="shared" si="3"/>
        <v>5.7829376298614168</v>
      </c>
      <c r="H9" s="7" t="str">
        <f>AS2</f>
        <v>Nickel Institute (2021)</v>
      </c>
      <c r="I9" s="51">
        <f>AV20</f>
        <v>3.6399999999999997</v>
      </c>
      <c r="J9" s="51">
        <f>AV21</f>
        <v>0.52</v>
      </c>
      <c r="K9" s="51">
        <f>AV22</f>
        <v>8.84</v>
      </c>
      <c r="L9" s="51">
        <f>AV23</f>
        <v>0</v>
      </c>
      <c r="M9" s="51">
        <f>AV24</f>
        <v>13</v>
      </c>
      <c r="N9" s="1" t="s">
        <v>35</v>
      </c>
      <c r="O9" s="19" t="s">
        <v>51</v>
      </c>
      <c r="P9" s="9" t="s">
        <v>31</v>
      </c>
      <c r="Q9" s="26">
        <f t="shared" si="5"/>
        <v>0.25225225225225328</v>
      </c>
      <c r="R9" s="34">
        <v>3.5315315315315461</v>
      </c>
      <c r="S9" s="9"/>
      <c r="T9" s="19" t="s">
        <v>41</v>
      </c>
      <c r="U9" s="9" t="s">
        <v>31</v>
      </c>
      <c r="V9" s="26">
        <f>W9/W$13</f>
        <v>0.48603351955306967</v>
      </c>
      <c r="W9" s="34">
        <v>5.5407821229049947</v>
      </c>
      <c r="X9" s="9"/>
      <c r="Y9" s="19" t="s">
        <v>55</v>
      </c>
      <c r="Z9" s="9" t="s">
        <v>31</v>
      </c>
      <c r="AA9" s="26">
        <f t="shared" si="6"/>
        <v>0.59738562091503267</v>
      </c>
      <c r="AB9" s="55">
        <v>4.57</v>
      </c>
      <c r="AC9" s="9"/>
      <c r="AD9" s="19" t="s">
        <v>10</v>
      </c>
      <c r="AE9" s="9" t="s">
        <v>10</v>
      </c>
      <c r="AF9" s="26">
        <f>AG9/AG$13</f>
        <v>1.3168724279835391E-2</v>
      </c>
      <c r="AG9" s="55">
        <v>0.32</v>
      </c>
      <c r="AH9" s="9"/>
      <c r="AI9" s="19" t="s">
        <v>10</v>
      </c>
      <c r="AJ9" s="9" t="s">
        <v>10</v>
      </c>
      <c r="AK9" s="26">
        <f>AL9/AL$13</f>
        <v>6.9729729729729725E-2</v>
      </c>
      <c r="AL9" s="55">
        <v>1.29</v>
      </c>
      <c r="AM9" s="9"/>
      <c r="AN9" s="19" t="s">
        <v>3</v>
      </c>
      <c r="AO9" s="9" t="s">
        <v>10</v>
      </c>
      <c r="AP9" s="26">
        <f>AQ9/AQ$13</f>
        <v>1.5472736740310942E-2</v>
      </c>
      <c r="AQ9" s="20">
        <v>0.41599999999999998</v>
      </c>
      <c r="AR9" s="9"/>
      <c r="AS9" s="19" t="s">
        <v>63</v>
      </c>
      <c r="AT9" s="9" t="s">
        <v>31</v>
      </c>
      <c r="AU9" s="26">
        <v>0.55000000000000004</v>
      </c>
      <c r="AV9" s="20">
        <f>AT$3*AU9</f>
        <v>7.15</v>
      </c>
      <c r="AW9" s="5"/>
      <c r="AX9" s="19" t="s">
        <v>101</v>
      </c>
      <c r="AY9" s="9" t="s">
        <v>31</v>
      </c>
      <c r="AZ9" s="26">
        <f t="shared" si="7"/>
        <v>1.4438775510204081E-2</v>
      </c>
      <c r="BA9" s="34">
        <v>5.6599999999999998E-2</v>
      </c>
    </row>
    <row r="10" spans="1:59" ht="14.55" customHeight="1" x14ac:dyDescent="0.3">
      <c r="A10" s="28" t="str">
        <f>AX2</f>
        <v>Bollwein (2022)</v>
      </c>
      <c r="B10" s="50">
        <f>BA20</f>
        <v>1.2870000000000001</v>
      </c>
      <c r="C10" s="50">
        <f>BA21</f>
        <v>0</v>
      </c>
      <c r="D10" s="50">
        <f>BA22</f>
        <v>2.3666</v>
      </c>
      <c r="E10" s="50">
        <f>BA23</f>
        <v>0.26639999999999997</v>
      </c>
      <c r="F10" s="50">
        <f>BA24</f>
        <v>3.92</v>
      </c>
      <c r="I10" s="30"/>
      <c r="J10" s="30"/>
      <c r="K10" s="30"/>
      <c r="L10" s="30"/>
      <c r="M10" s="30"/>
      <c r="N10" s="1" t="s">
        <v>35</v>
      </c>
      <c r="O10" s="19" t="s">
        <v>10</v>
      </c>
      <c r="P10" s="9" t="s">
        <v>10</v>
      </c>
      <c r="Q10" s="26">
        <f t="shared" si="5"/>
        <v>0.4234234234234252</v>
      </c>
      <c r="R10" s="34">
        <v>5.9279279279279526</v>
      </c>
      <c r="S10" s="9"/>
      <c r="T10" s="19"/>
      <c r="U10" s="9"/>
      <c r="V10" s="26"/>
      <c r="W10" s="34"/>
      <c r="X10" s="9"/>
      <c r="Y10" s="19" t="s">
        <v>57</v>
      </c>
      <c r="Z10" s="9" t="s">
        <v>10</v>
      </c>
      <c r="AA10" s="26">
        <f t="shared" si="6"/>
        <v>0.16601307189542483</v>
      </c>
      <c r="AB10" s="55">
        <v>1.27</v>
      </c>
      <c r="AC10" s="9"/>
      <c r="AD10" s="19"/>
      <c r="AE10" s="9"/>
      <c r="AF10" s="26"/>
      <c r="AG10" s="55"/>
      <c r="AH10" s="9"/>
      <c r="AI10" s="19"/>
      <c r="AJ10" s="9"/>
      <c r="AK10" s="26"/>
      <c r="AL10" s="55"/>
      <c r="AM10" s="9"/>
      <c r="AN10" s="19"/>
      <c r="AO10" s="9"/>
      <c r="AP10" s="26"/>
      <c r="AQ10" s="55"/>
      <c r="AR10" s="9"/>
      <c r="AS10" s="19" t="s">
        <v>6</v>
      </c>
      <c r="AT10" s="19" t="s">
        <v>6</v>
      </c>
      <c r="AU10" s="26">
        <v>0.04</v>
      </c>
      <c r="AV10" s="20">
        <f>AT$3*AU10</f>
        <v>0.52</v>
      </c>
      <c r="AW10" s="5"/>
      <c r="AX10" s="19" t="s">
        <v>102</v>
      </c>
      <c r="AY10" s="9" t="s">
        <v>10</v>
      </c>
      <c r="AZ10" s="26">
        <f t="shared" si="7"/>
        <v>6.7857142857142866E-2</v>
      </c>
      <c r="BA10" s="34">
        <v>0.26600000000000001</v>
      </c>
    </row>
    <row r="11" spans="1:59" ht="14.55" customHeight="1" x14ac:dyDescent="0.3">
      <c r="A11" s="28"/>
      <c r="B11" s="28"/>
      <c r="C11" s="28"/>
      <c r="D11" s="28"/>
      <c r="E11" s="14"/>
      <c r="F11" s="14"/>
      <c r="L11" s="56"/>
      <c r="N11" s="1" t="s">
        <v>35</v>
      </c>
      <c r="O11" s="19" t="s">
        <v>6</v>
      </c>
      <c r="P11" s="9" t="s">
        <v>6</v>
      </c>
      <c r="Q11" s="26">
        <f t="shared" si="5"/>
        <v>2.7027027027022248E-2</v>
      </c>
      <c r="R11" s="34">
        <v>0.37837837837831145</v>
      </c>
      <c r="S11" s="9"/>
      <c r="T11" s="19"/>
      <c r="U11" s="9"/>
      <c r="V11" s="26"/>
      <c r="W11" s="34"/>
      <c r="X11" s="9"/>
      <c r="Y11" s="19" t="s">
        <v>56</v>
      </c>
      <c r="Z11" s="9" t="s">
        <v>10</v>
      </c>
      <c r="AA11" s="26">
        <f t="shared" si="6"/>
        <v>-4.3137254901960784E-2</v>
      </c>
      <c r="AB11" s="55">
        <v>-0.33</v>
      </c>
      <c r="AC11" s="9"/>
      <c r="AD11" s="19"/>
      <c r="AE11" s="9"/>
      <c r="AF11" s="26"/>
      <c r="AG11" s="55"/>
      <c r="AH11" s="9"/>
      <c r="AI11" s="19"/>
      <c r="AJ11" s="9"/>
      <c r="AK11" s="26"/>
      <c r="AL11" s="55"/>
      <c r="AM11" s="9"/>
      <c r="AN11" s="19"/>
      <c r="AO11" s="9"/>
      <c r="AP11" s="26"/>
      <c r="AQ11" s="55"/>
      <c r="AR11" s="9"/>
      <c r="AS11" s="19"/>
      <c r="AT11" s="9"/>
      <c r="AU11" s="26"/>
      <c r="AV11" s="55"/>
      <c r="AW11" s="5"/>
      <c r="AX11" s="19" t="s">
        <v>10</v>
      </c>
      <c r="AY11" s="9" t="s">
        <v>10</v>
      </c>
      <c r="AZ11" s="26">
        <f t="shared" si="7"/>
        <v>1.0204081632651938E-4</v>
      </c>
      <c r="BA11" s="34">
        <f>3.92-SUM(BA6:BA10)</f>
        <v>3.9999999999995595E-4</v>
      </c>
    </row>
    <row r="12" spans="1:59" ht="32.549999999999997" customHeight="1" x14ac:dyDescent="0.3">
      <c r="A12" s="28"/>
      <c r="B12" s="28"/>
      <c r="C12" s="28"/>
      <c r="D12" s="28"/>
      <c r="E12" s="14"/>
      <c r="F12" s="14"/>
      <c r="H12" s="90" t="s">
        <v>708</v>
      </c>
      <c r="I12" s="91"/>
      <c r="J12" s="91"/>
      <c r="K12" s="92"/>
      <c r="L12" s="56"/>
      <c r="M12" s="56"/>
      <c r="N12" s="1" t="s">
        <v>35</v>
      </c>
      <c r="O12" s="19"/>
      <c r="P12" s="9"/>
      <c r="Q12" s="26"/>
      <c r="R12" s="34"/>
      <c r="S12" s="9"/>
      <c r="T12" s="19"/>
      <c r="U12" s="9"/>
      <c r="V12" s="26"/>
      <c r="W12" s="34"/>
      <c r="X12" s="9"/>
      <c r="Y12" s="19"/>
      <c r="Z12" s="9"/>
      <c r="AA12" s="26"/>
      <c r="AB12" s="34"/>
      <c r="AC12" s="9"/>
      <c r="AD12" s="19"/>
      <c r="AE12" s="9"/>
      <c r="AF12" s="26"/>
      <c r="AG12" s="34"/>
      <c r="AH12" s="9"/>
      <c r="AI12" s="19"/>
      <c r="AJ12" s="9"/>
      <c r="AK12" s="26"/>
      <c r="AL12" s="34"/>
      <c r="AM12" s="9"/>
      <c r="AN12" s="19"/>
      <c r="AO12" s="9"/>
      <c r="AP12" s="26"/>
      <c r="AQ12" s="34"/>
      <c r="AR12" s="9"/>
      <c r="AS12" s="19"/>
      <c r="AT12" s="9"/>
      <c r="AU12" s="26"/>
      <c r="AV12" s="34"/>
      <c r="AW12" s="5"/>
      <c r="AX12" s="19"/>
      <c r="AY12" s="9"/>
      <c r="AZ12" s="26">
        <f t="shared" si="7"/>
        <v>0</v>
      </c>
      <c r="BA12" s="34">
        <v>0</v>
      </c>
    </row>
    <row r="13" spans="1:59" ht="27.45" customHeight="1" x14ac:dyDescent="0.3">
      <c r="A13" s="28"/>
      <c r="B13" s="28"/>
      <c r="C13" s="28"/>
      <c r="D13" s="28"/>
      <c r="E13" s="14"/>
      <c r="F13" s="14"/>
      <c r="H13" s="101" t="s">
        <v>705</v>
      </c>
      <c r="I13" s="102"/>
      <c r="J13" s="102"/>
      <c r="K13" s="103"/>
      <c r="N13" s="1" t="s">
        <v>35</v>
      </c>
      <c r="O13" s="19"/>
      <c r="P13" s="9"/>
      <c r="Q13" s="26"/>
      <c r="R13" s="34"/>
      <c r="S13" s="9"/>
      <c r="T13" s="19"/>
      <c r="U13" s="9" t="s">
        <v>32</v>
      </c>
      <c r="V13" s="57">
        <f>SUM(V6:V12)</f>
        <v>1</v>
      </c>
      <c r="W13" s="34">
        <f>SUM(W6:W12)</f>
        <v>11.4</v>
      </c>
      <c r="X13" s="9"/>
      <c r="Y13" s="19"/>
      <c r="Z13" s="9" t="s">
        <v>32</v>
      </c>
      <c r="AA13" s="57">
        <f>SUM(AA6:AA12)</f>
        <v>1</v>
      </c>
      <c r="AB13" s="34">
        <f>SUM(AB6:AB12)</f>
        <v>7.65</v>
      </c>
      <c r="AC13" s="9"/>
      <c r="AD13" s="19"/>
      <c r="AE13" s="9" t="s">
        <v>32</v>
      </c>
      <c r="AF13" s="57">
        <f>SUM(AF6:AF12)</f>
        <v>1</v>
      </c>
      <c r="AG13" s="34">
        <f>SUM(AG6:AG12)</f>
        <v>24.3</v>
      </c>
      <c r="AH13" s="9"/>
      <c r="AI13" s="19"/>
      <c r="AJ13" s="9" t="s">
        <v>32</v>
      </c>
      <c r="AK13" s="57">
        <f>SUM(AK6:AK12)</f>
        <v>1</v>
      </c>
      <c r="AL13" s="34">
        <f>SUM(AL6:AL12)</f>
        <v>18.5</v>
      </c>
      <c r="AM13" s="9"/>
      <c r="AN13" s="19"/>
      <c r="AO13" s="9" t="s">
        <v>32</v>
      </c>
      <c r="AP13" s="57">
        <f>SUM(AP6:AP12)</f>
        <v>1.0000000000000002</v>
      </c>
      <c r="AQ13" s="34">
        <f>SUM(AQ6:AQ12)</f>
        <v>26.885999999999999</v>
      </c>
      <c r="AR13" s="9"/>
      <c r="AS13" s="19"/>
      <c r="AT13" s="9" t="s">
        <v>32</v>
      </c>
      <c r="AU13" s="57">
        <f>SUM(AU6:AU12)</f>
        <v>1</v>
      </c>
      <c r="AV13" s="34">
        <f>SUM(AV6:AV12)</f>
        <v>13</v>
      </c>
      <c r="AW13" s="5"/>
      <c r="AX13" s="19"/>
      <c r="AY13" s="9"/>
      <c r="AZ13" s="26">
        <f t="shared" si="7"/>
        <v>0</v>
      </c>
      <c r="BA13" s="34">
        <v>0</v>
      </c>
    </row>
    <row r="14" spans="1:59" ht="14.55" customHeight="1" x14ac:dyDescent="0.3">
      <c r="A14" s="28"/>
      <c r="B14" s="28"/>
      <c r="C14" s="28"/>
      <c r="D14" s="28"/>
      <c r="E14" s="14"/>
      <c r="F14" s="14"/>
      <c r="H14" s="58"/>
      <c r="I14" s="3"/>
      <c r="J14" s="3"/>
      <c r="K14" s="59"/>
      <c r="N14" s="1" t="s">
        <v>35</v>
      </c>
      <c r="O14" s="19"/>
      <c r="P14" s="9"/>
      <c r="Q14" s="26"/>
      <c r="R14" s="34"/>
      <c r="S14" s="9"/>
      <c r="T14" s="19"/>
      <c r="U14" s="9"/>
      <c r="V14" s="9"/>
      <c r="W14" s="20"/>
      <c r="X14" s="9"/>
      <c r="Y14" s="19"/>
      <c r="Z14" s="9"/>
      <c r="AA14" s="9"/>
      <c r="AB14" s="20"/>
      <c r="AC14" s="9"/>
      <c r="AD14" s="19"/>
      <c r="AE14" s="9"/>
      <c r="AF14" s="9"/>
      <c r="AG14" s="20"/>
      <c r="AH14" s="9"/>
      <c r="AI14" s="19"/>
      <c r="AJ14" s="9"/>
      <c r="AK14" s="9"/>
      <c r="AL14" s="20"/>
      <c r="AM14" s="9"/>
      <c r="AN14" s="19"/>
      <c r="AO14" s="9"/>
      <c r="AP14" s="9"/>
      <c r="AQ14" s="20"/>
      <c r="AR14" s="9"/>
      <c r="AS14" s="19"/>
      <c r="AT14" s="9"/>
      <c r="AU14" s="9"/>
      <c r="AV14" s="20"/>
      <c r="AW14" s="5"/>
      <c r="AX14" s="19"/>
      <c r="AY14" s="9"/>
      <c r="AZ14" s="26">
        <f t="shared" si="7"/>
        <v>0</v>
      </c>
      <c r="BA14" s="34">
        <v>0</v>
      </c>
    </row>
    <row r="15" spans="1:59" ht="14.55" customHeight="1" x14ac:dyDescent="0.3">
      <c r="A15" s="28"/>
      <c r="B15" s="28"/>
      <c r="C15" s="28"/>
      <c r="D15" s="28"/>
      <c r="E15" s="28"/>
      <c r="F15" s="28"/>
      <c r="H15" s="98" t="s">
        <v>704</v>
      </c>
      <c r="I15" s="99"/>
      <c r="J15" s="99"/>
      <c r="K15" s="100"/>
      <c r="N15" s="1" t="s">
        <v>35</v>
      </c>
      <c r="O15" s="19"/>
      <c r="P15" s="9"/>
      <c r="Q15" s="26"/>
      <c r="R15" s="34"/>
      <c r="S15" s="9"/>
      <c r="T15" s="19"/>
      <c r="U15" s="9"/>
      <c r="V15" s="9"/>
      <c r="W15" s="20"/>
      <c r="X15" s="9"/>
      <c r="Y15" s="19"/>
      <c r="Z15" s="9"/>
      <c r="AA15" s="9"/>
      <c r="AB15" s="20"/>
      <c r="AC15" s="9"/>
      <c r="AD15" s="19"/>
      <c r="AE15" s="9"/>
      <c r="AF15" s="9"/>
      <c r="AG15" s="20"/>
      <c r="AH15" s="9"/>
      <c r="AI15" s="19"/>
      <c r="AJ15" s="9"/>
      <c r="AK15" s="9"/>
      <c r="AL15" s="20"/>
      <c r="AM15" s="9"/>
      <c r="AN15" s="19"/>
      <c r="AO15" s="9"/>
      <c r="AP15" s="9"/>
      <c r="AQ15" s="20"/>
      <c r="AR15" s="9"/>
      <c r="AS15" s="19"/>
      <c r="AT15" s="9"/>
      <c r="AU15" s="9"/>
      <c r="AV15" s="20"/>
      <c r="AW15" s="5"/>
      <c r="AX15" s="19"/>
      <c r="AY15" s="9"/>
      <c r="AZ15" s="26">
        <f t="shared" si="7"/>
        <v>0</v>
      </c>
      <c r="BA15" s="34">
        <v>0</v>
      </c>
      <c r="BG15" s="53"/>
    </row>
    <row r="16" spans="1:59" ht="28.8" x14ac:dyDescent="0.3">
      <c r="A16" s="28"/>
      <c r="B16" s="28"/>
      <c r="C16" s="28"/>
      <c r="D16" s="28"/>
      <c r="E16" s="14"/>
      <c r="F16" s="14"/>
      <c r="H16" s="60" t="s">
        <v>691</v>
      </c>
      <c r="I16" s="7" t="s">
        <v>692</v>
      </c>
      <c r="J16" s="7" t="s">
        <v>690</v>
      </c>
      <c r="K16" s="61" t="s">
        <v>686</v>
      </c>
      <c r="N16" s="1" t="s">
        <v>35</v>
      </c>
      <c r="O16" s="19"/>
      <c r="P16" s="9" t="s">
        <v>32</v>
      </c>
      <c r="Q16" s="26">
        <f>SUM(Q6:Q15)</f>
        <v>1</v>
      </c>
      <c r="R16" s="20">
        <f>SUM(R6:R15)</f>
        <v>14</v>
      </c>
      <c r="S16" s="9"/>
      <c r="T16" s="19"/>
      <c r="U16" s="9"/>
      <c r="V16" s="9"/>
      <c r="W16" s="20"/>
      <c r="X16" s="9"/>
      <c r="Y16" s="19"/>
      <c r="Z16" s="9"/>
      <c r="AA16" s="9"/>
      <c r="AB16" s="20"/>
      <c r="AC16" s="9"/>
      <c r="AD16" s="19"/>
      <c r="AE16" s="9"/>
      <c r="AF16" s="9"/>
      <c r="AG16" s="20"/>
      <c r="AH16" s="9"/>
      <c r="AI16" s="19"/>
      <c r="AJ16" s="9"/>
      <c r="AK16" s="9"/>
      <c r="AL16" s="20"/>
      <c r="AM16" s="9"/>
      <c r="AN16" s="19"/>
      <c r="AO16" s="9"/>
      <c r="AP16" s="9"/>
      <c r="AQ16" s="20"/>
      <c r="AR16" s="9"/>
      <c r="AS16" s="19"/>
      <c r="AT16" s="9"/>
      <c r="AU16" s="9"/>
      <c r="AV16" s="20"/>
      <c r="AW16" s="5"/>
      <c r="AX16" s="19"/>
      <c r="AY16" s="9" t="s">
        <v>32</v>
      </c>
      <c r="AZ16" s="26">
        <f t="shared" si="7"/>
        <v>1</v>
      </c>
      <c r="BA16" s="34">
        <f>SUM(BA6:BA15)</f>
        <v>3.92</v>
      </c>
      <c r="BG16" s="53"/>
    </row>
    <row r="17" spans="1:71" ht="43.2" x14ac:dyDescent="0.3">
      <c r="A17" s="28"/>
      <c r="B17" s="28"/>
      <c r="C17" s="28"/>
      <c r="D17" s="28"/>
      <c r="E17" s="14"/>
      <c r="F17" s="14"/>
      <c r="H17" s="62" t="s">
        <v>687</v>
      </c>
      <c r="I17" s="63" t="s">
        <v>688</v>
      </c>
      <c r="J17" s="63">
        <v>0.39924073992825698</v>
      </c>
      <c r="K17" s="64" t="s">
        <v>689</v>
      </c>
      <c r="N17" s="1" t="s">
        <v>35</v>
      </c>
      <c r="O17" s="19"/>
      <c r="P17" s="9"/>
      <c r="Q17" s="26"/>
      <c r="R17" s="20"/>
      <c r="S17" s="9"/>
      <c r="T17" s="19"/>
      <c r="U17" s="9"/>
      <c r="V17" s="9"/>
      <c r="W17" s="20"/>
      <c r="X17" s="9"/>
      <c r="Y17" s="19"/>
      <c r="Z17" s="9"/>
      <c r="AA17" s="9"/>
      <c r="AB17" s="20"/>
      <c r="AC17" s="9"/>
      <c r="AD17" s="19"/>
      <c r="AE17" s="9"/>
      <c r="AF17" s="9"/>
      <c r="AG17" s="20"/>
      <c r="AH17" s="9"/>
      <c r="AI17" s="19"/>
      <c r="AJ17" s="9"/>
      <c r="AK17" s="9"/>
      <c r="AL17" s="20"/>
      <c r="AM17" s="9"/>
      <c r="AN17" s="19"/>
      <c r="AO17" s="9"/>
      <c r="AP17" s="9"/>
      <c r="AQ17" s="20"/>
      <c r="AR17" s="9"/>
      <c r="AS17" s="19"/>
      <c r="AT17" s="9"/>
      <c r="AU17" s="9"/>
      <c r="AV17" s="20"/>
      <c r="AW17" s="5"/>
      <c r="AX17" s="19"/>
      <c r="AY17" s="9"/>
      <c r="AZ17" s="26"/>
      <c r="BA17" s="20"/>
      <c r="BG17" s="53"/>
    </row>
    <row r="18" spans="1:71" ht="14.55" customHeight="1" x14ac:dyDescent="0.3">
      <c r="A18" s="28"/>
      <c r="B18" s="28"/>
      <c r="C18" s="28"/>
      <c r="D18" s="28"/>
      <c r="E18" s="14"/>
      <c r="F18" s="14"/>
      <c r="H18" s="60"/>
      <c r="I18" s="7"/>
      <c r="J18" s="7"/>
      <c r="K18" s="61"/>
      <c r="N18" s="1" t="s">
        <v>35</v>
      </c>
      <c r="O18" s="19"/>
      <c r="P18" s="9"/>
      <c r="Q18" s="9"/>
      <c r="R18" s="20"/>
      <c r="S18" s="9"/>
      <c r="T18" s="19"/>
      <c r="U18" s="9"/>
      <c r="V18" s="9"/>
      <c r="W18" s="20"/>
      <c r="X18" s="9"/>
      <c r="Y18" s="19"/>
      <c r="Z18" s="9"/>
      <c r="AA18" s="9"/>
      <c r="AB18" s="20"/>
      <c r="AC18" s="9"/>
      <c r="AD18" s="19"/>
      <c r="AE18" s="9"/>
      <c r="AF18" s="9"/>
      <c r="AG18" s="20"/>
      <c r="AH18" s="9"/>
      <c r="AI18" s="19"/>
      <c r="AJ18" s="9"/>
      <c r="AK18" s="9"/>
      <c r="AL18" s="20"/>
      <c r="AM18" s="9"/>
      <c r="AN18" s="19"/>
      <c r="AO18" s="9"/>
      <c r="AP18" s="9"/>
      <c r="AQ18" s="20"/>
      <c r="AR18" s="9"/>
      <c r="AS18" s="19"/>
      <c r="AT18" s="9"/>
      <c r="AU18" s="9"/>
      <c r="AV18" s="20"/>
      <c r="AW18" s="5"/>
      <c r="AX18" s="19"/>
      <c r="AY18" s="9"/>
      <c r="AZ18" s="9"/>
      <c r="BA18" s="20"/>
      <c r="BG18" s="53"/>
    </row>
    <row r="19" spans="1:71" ht="57.6" x14ac:dyDescent="0.3">
      <c r="A19" s="28"/>
      <c r="B19" s="28"/>
      <c r="C19" s="28"/>
      <c r="D19" s="28"/>
      <c r="E19" s="14"/>
      <c r="F19" s="14"/>
      <c r="H19" s="98" t="s">
        <v>707</v>
      </c>
      <c r="I19" s="99"/>
      <c r="J19" s="99"/>
      <c r="K19" s="100"/>
      <c r="O19" s="36"/>
      <c r="P19" s="65" t="s">
        <v>18</v>
      </c>
      <c r="Q19" s="66" t="s">
        <v>15</v>
      </c>
      <c r="R19" s="54" t="s">
        <v>49</v>
      </c>
      <c r="S19" s="5"/>
      <c r="T19" s="36"/>
      <c r="U19" s="65" t="s">
        <v>18</v>
      </c>
      <c r="V19" s="66" t="s">
        <v>15</v>
      </c>
      <c r="W19" s="54" t="s">
        <v>49</v>
      </c>
      <c r="X19" s="5"/>
      <c r="Y19" s="36"/>
      <c r="Z19" s="65" t="s">
        <v>18</v>
      </c>
      <c r="AA19" s="66" t="s">
        <v>15</v>
      </c>
      <c r="AB19" s="54" t="s">
        <v>49</v>
      </c>
      <c r="AC19" s="9"/>
      <c r="AD19" s="36"/>
      <c r="AE19" s="65" t="s">
        <v>18</v>
      </c>
      <c r="AF19" s="66" t="s">
        <v>15</v>
      </c>
      <c r="AG19" s="54" t="s">
        <v>49</v>
      </c>
      <c r="AH19" s="9"/>
      <c r="AI19" s="36"/>
      <c r="AJ19" s="65" t="s">
        <v>18</v>
      </c>
      <c r="AK19" s="66" t="s">
        <v>15</v>
      </c>
      <c r="AL19" s="54" t="s">
        <v>49</v>
      </c>
      <c r="AM19" s="9"/>
      <c r="AN19" s="36"/>
      <c r="AO19" s="65" t="s">
        <v>18</v>
      </c>
      <c r="AP19" s="66" t="s">
        <v>15</v>
      </c>
      <c r="AQ19" s="54" t="s">
        <v>49</v>
      </c>
      <c r="AR19" s="9"/>
      <c r="AS19" s="36"/>
      <c r="AT19" s="65" t="s">
        <v>18</v>
      </c>
      <c r="AU19" s="66" t="s">
        <v>15</v>
      </c>
      <c r="AV19" s="54" t="s">
        <v>49</v>
      </c>
      <c r="AW19" s="5"/>
      <c r="AX19" s="36"/>
      <c r="AY19" s="37" t="s">
        <v>18</v>
      </c>
      <c r="AZ19" s="38" t="s">
        <v>15</v>
      </c>
      <c r="BA19" s="39" t="s">
        <v>38</v>
      </c>
      <c r="BG19" s="53"/>
    </row>
    <row r="20" spans="1:71" ht="28.8" x14ac:dyDescent="0.3">
      <c r="A20" s="28"/>
      <c r="B20" s="28"/>
      <c r="C20" s="28"/>
      <c r="D20" s="28"/>
      <c r="E20" s="14"/>
      <c r="F20" s="14"/>
      <c r="H20" s="60" t="s">
        <v>693</v>
      </c>
      <c r="I20" s="104" t="s">
        <v>694</v>
      </c>
      <c r="J20" s="104"/>
      <c r="K20" s="105"/>
      <c r="O20" s="19"/>
      <c r="P20" s="19" t="s">
        <v>22</v>
      </c>
      <c r="Q20" s="41">
        <f>SUMIF(P$6:P$15, P20, Q$6:Q$15)</f>
        <v>0.29729729729729926</v>
      </c>
      <c r="R20" s="34">
        <f>SUMIF(P$6:P$15, P20, R$6:R$15)</f>
        <v>4.1621621621621898</v>
      </c>
      <c r="S20" s="9"/>
      <c r="T20" s="19"/>
      <c r="U20" s="19" t="s">
        <v>22</v>
      </c>
      <c r="V20" s="41">
        <f>SUMIF(U$6:U$15, U20, V$6:V$15)</f>
        <v>0.25139664804469414</v>
      </c>
      <c r="W20" s="34">
        <f>SUMIF(U$6:U$15, U20, W$6:W$15)</f>
        <v>2.8659217877095133</v>
      </c>
      <c r="X20" s="9"/>
      <c r="Y20" s="19"/>
      <c r="Z20" s="19" t="s">
        <v>22</v>
      </c>
      <c r="AA20" s="41">
        <f>SUMIF(Z$6:Z$15, Z20, AA$6:AA$15)</f>
        <v>0.26666666666666666</v>
      </c>
      <c r="AB20" s="34">
        <f>SUMIF(Z$6:Z$15, Z20, AB$6:AB$15)</f>
        <v>2.04</v>
      </c>
      <c r="AC20" s="9"/>
      <c r="AD20" s="19"/>
      <c r="AE20" s="19" t="s">
        <v>22</v>
      </c>
      <c r="AF20" s="41">
        <f>SUMIF(AE$6:AE$15, AE20, AF$6:AF$15)</f>
        <v>0.55967078189300412</v>
      </c>
      <c r="AG20" s="34">
        <f>SUMIF(AE$6:AE$15, AE20, AG$6:AG$15)</f>
        <v>13.6</v>
      </c>
      <c r="AH20" s="9"/>
      <c r="AI20" s="19"/>
      <c r="AJ20" s="19" t="s">
        <v>22</v>
      </c>
      <c r="AK20" s="41">
        <f>SUMIF(AJ$6:AJ$15, AJ20, AK$6:AK$15)</f>
        <v>0.58918918918918917</v>
      </c>
      <c r="AL20" s="34">
        <f>SUMIF(AJ$6:AJ$15, AJ20, AL$6:AL$15)</f>
        <v>10.9</v>
      </c>
      <c r="AM20" s="9"/>
      <c r="AN20" s="19"/>
      <c r="AO20" s="19" t="s">
        <v>22</v>
      </c>
      <c r="AP20" s="41">
        <f>SUMIF(AO$6:AO$15, AO20, AP$6:AP$15)</f>
        <v>0.30015621513055124</v>
      </c>
      <c r="AQ20" s="34">
        <f>SUMIF(AO$6:AO$15, AO20, AQ$6:AQ$15)</f>
        <v>8.07</v>
      </c>
      <c r="AR20" s="9"/>
      <c r="AS20" s="19"/>
      <c r="AT20" s="19" t="s">
        <v>22</v>
      </c>
      <c r="AU20" s="41">
        <f>SUMIF(AT$6:AT$15, AT20, AU$6:AU$15)</f>
        <v>0.28000000000000003</v>
      </c>
      <c r="AV20" s="34">
        <f>SUMIF(AT$6:AT$15, AT20, AV$6:AV$15)</f>
        <v>3.6399999999999997</v>
      </c>
      <c r="AW20" s="5"/>
      <c r="AX20" s="19"/>
      <c r="AY20" s="19" t="s">
        <v>22</v>
      </c>
      <c r="AZ20" s="41">
        <f>SUMIF(AY$6:AY$17, AY20, AZ$6:AZ$17)</f>
        <v>0.32831632653061227</v>
      </c>
      <c r="BA20" s="34">
        <f>$AY$3*AZ20</f>
        <v>1.2870000000000001</v>
      </c>
      <c r="BS20" s="53"/>
    </row>
    <row r="21" spans="1:71" x14ac:dyDescent="0.3">
      <c r="A21" s="28"/>
      <c r="B21" s="28"/>
      <c r="C21" s="28"/>
      <c r="D21" s="28"/>
      <c r="E21" s="14"/>
      <c r="F21" s="14"/>
      <c r="H21" s="60">
        <v>6.0300064314216202E-2</v>
      </c>
      <c r="I21" s="106" t="s">
        <v>695</v>
      </c>
      <c r="J21" s="106"/>
      <c r="K21" s="107"/>
      <c r="O21" s="19"/>
      <c r="P21" s="19" t="s">
        <v>6</v>
      </c>
      <c r="Q21" s="41">
        <f>SUMIF(P$6:P$15, P21, Q$6:Q$15)</f>
        <v>2.7027027027022248E-2</v>
      </c>
      <c r="R21" s="34">
        <f>SUMIF(P$6:P$15, P21, R$6:R$15)</f>
        <v>0.37837837837831145</v>
      </c>
      <c r="S21" s="9"/>
      <c r="T21" s="19"/>
      <c r="U21" s="19" t="s">
        <v>6</v>
      </c>
      <c r="V21" s="41">
        <f>SUMIF(U$6:U$15, U21, V$6:V$15)</f>
        <v>0</v>
      </c>
      <c r="W21" s="34">
        <f>SUMIF(U$6:U$15, U21, W$6:W$15)</f>
        <v>0</v>
      </c>
      <c r="X21" s="9"/>
      <c r="Y21" s="19"/>
      <c r="Z21" s="19" t="s">
        <v>6</v>
      </c>
      <c r="AA21" s="41">
        <f>SUMIF(Z$6:Z$15, Z21, AA$6:AA$15)</f>
        <v>0</v>
      </c>
      <c r="AB21" s="34">
        <f>SUMIF(Z$6:Z$15, Z21, AB$6:AB$15)</f>
        <v>0</v>
      </c>
      <c r="AC21" s="9"/>
      <c r="AD21" s="19"/>
      <c r="AE21" s="19" t="s">
        <v>6</v>
      </c>
      <c r="AF21" s="41">
        <f>SUMIF(AE$6:AE$15, AE21, AF$6:AF$15)</f>
        <v>0</v>
      </c>
      <c r="AG21" s="34">
        <f>SUMIF(AE$6:AE$15, AE21, AG$6:AG$15)</f>
        <v>0</v>
      </c>
      <c r="AH21" s="9"/>
      <c r="AI21" s="19"/>
      <c r="AJ21" s="19" t="s">
        <v>6</v>
      </c>
      <c r="AK21" s="41">
        <f>SUMIF(AJ$6:AJ$15, AJ21, AK$6:AK$15)</f>
        <v>0</v>
      </c>
      <c r="AL21" s="34">
        <f>SUMIF(AJ$6:AJ$15, AJ21, AL$6:AL$15)</f>
        <v>0</v>
      </c>
      <c r="AM21" s="9"/>
      <c r="AN21" s="19"/>
      <c r="AO21" s="19" t="s">
        <v>6</v>
      </c>
      <c r="AP21" s="41">
        <f>SUMIF(AO$6:AO$15, AO21, AP$6:AP$15)</f>
        <v>0</v>
      </c>
      <c r="AQ21" s="34">
        <f>SUMIF(AO$6:AO$15, AO21, AQ$6:AQ$15)</f>
        <v>0</v>
      </c>
      <c r="AR21" s="9"/>
      <c r="AS21" s="19"/>
      <c r="AT21" s="19" t="s">
        <v>6</v>
      </c>
      <c r="AU21" s="41">
        <f>SUMIF(AT$6:AT$15, AT21, AU$6:AU$15)</f>
        <v>0.04</v>
      </c>
      <c r="AV21" s="34">
        <f>SUMIF(AT$6:AT$15, AT21, AV$6:AV$15)</f>
        <v>0.52</v>
      </c>
      <c r="AW21" s="5"/>
      <c r="AX21" s="19"/>
      <c r="AY21" s="19" t="s">
        <v>6</v>
      </c>
      <c r="AZ21" s="41">
        <f>SUMIF(AY$6:AY$17, AY21, AZ$6:AZ$17)</f>
        <v>0</v>
      </c>
      <c r="BA21" s="34">
        <f t="shared" ref="BA21:BA23" si="8">$AY$3*AZ21</f>
        <v>0</v>
      </c>
      <c r="BS21" s="53"/>
    </row>
    <row r="22" spans="1:71" x14ac:dyDescent="0.3">
      <c r="A22" s="28"/>
      <c r="B22" s="28"/>
      <c r="C22" s="28"/>
      <c r="D22" s="28"/>
      <c r="E22" s="14"/>
      <c r="F22" s="14"/>
      <c r="H22" s="60">
        <v>0.294601988168533</v>
      </c>
      <c r="I22" s="106" t="s">
        <v>696</v>
      </c>
      <c r="J22" s="106"/>
      <c r="K22" s="107"/>
      <c r="O22" s="19"/>
      <c r="P22" s="19" t="s">
        <v>31</v>
      </c>
      <c r="Q22" s="41">
        <f>SUMIF(P$6:P$15, P22, Q$6:Q$15)</f>
        <v>0.25225225225225328</v>
      </c>
      <c r="R22" s="34">
        <f>SUMIF(P$6:P$15, P22, R$6:R$15)</f>
        <v>3.5315315315315461</v>
      </c>
      <c r="S22" s="9"/>
      <c r="T22" s="19"/>
      <c r="U22" s="19" t="s">
        <v>31</v>
      </c>
      <c r="V22" s="41">
        <f>SUMIF(U$6:U$15, U22, V$6:V$15)</f>
        <v>0.74860335195530581</v>
      </c>
      <c r="W22" s="34">
        <f>SUMIF(U$6:U$15, U22, W$6:W$15)</f>
        <v>8.5340782122904866</v>
      </c>
      <c r="X22" s="9"/>
      <c r="Y22" s="19"/>
      <c r="Z22" s="19" t="s">
        <v>31</v>
      </c>
      <c r="AA22" s="41">
        <f>SUMIF(Z$6:Z$15, Z22, AA$6:AA$15)</f>
        <v>0.61045751633986922</v>
      </c>
      <c r="AB22" s="34">
        <f>SUMIF(Z$6:Z$15, Z22, AB$6:AB$15)</f>
        <v>4.67</v>
      </c>
      <c r="AC22" s="9"/>
      <c r="AD22" s="19"/>
      <c r="AE22" s="19" t="s">
        <v>31</v>
      </c>
      <c r="AF22" s="41">
        <f>SUMIF(AE$6:AE$15, AE22, AF$6:AF$15)</f>
        <v>0.42716049382716048</v>
      </c>
      <c r="AG22" s="34">
        <f>SUMIF(AE$6:AE$15, AE22, AG$6:AG$15)</f>
        <v>10.38</v>
      </c>
      <c r="AH22" s="9"/>
      <c r="AI22" s="19"/>
      <c r="AJ22" s="19" t="s">
        <v>31</v>
      </c>
      <c r="AK22" s="41">
        <f>SUMIF(AJ$6:AJ$15, AJ22, AK$6:AK$15)</f>
        <v>0.34108108108108109</v>
      </c>
      <c r="AL22" s="34">
        <f>SUMIF(AJ$6:AJ$15, AJ22, AL$6:AL$15)</f>
        <v>6.3100000000000005</v>
      </c>
      <c r="AM22" s="9"/>
      <c r="AN22" s="19"/>
      <c r="AO22" s="19" t="s">
        <v>31</v>
      </c>
      <c r="AP22" s="41">
        <f>SUMIF(AO$6:AO$15, AO22, AP$6:AP$15)</f>
        <v>0.68437104812913796</v>
      </c>
      <c r="AQ22" s="34">
        <f>SUMIF(AO$6:AO$15, AO22, AQ$6:AQ$15)</f>
        <v>18.400000000000002</v>
      </c>
      <c r="AR22" s="9"/>
      <c r="AS22" s="19"/>
      <c r="AT22" s="19" t="s">
        <v>31</v>
      </c>
      <c r="AU22" s="41">
        <f>SUMIF(AT$6:AT$15, AT22, AU$6:AU$15)</f>
        <v>0.68</v>
      </c>
      <c r="AV22" s="34">
        <f>SUMIF(AT$6:AT$15, AT22, AV$6:AV$15)</f>
        <v>8.84</v>
      </c>
      <c r="AW22" s="5"/>
      <c r="AX22" s="19"/>
      <c r="AY22" s="19" t="s">
        <v>31</v>
      </c>
      <c r="AZ22" s="41">
        <f>SUMIF(AY$6:AY$17, AY22, AZ$6:AZ$17)</f>
        <v>0.60372448979591842</v>
      </c>
      <c r="BA22" s="34">
        <f t="shared" si="8"/>
        <v>2.3666</v>
      </c>
    </row>
    <row r="23" spans="1:71" x14ac:dyDescent="0.3">
      <c r="A23" s="28"/>
      <c r="B23" s="28"/>
      <c r="C23" s="28"/>
      <c r="D23" s="28"/>
      <c r="E23" s="14"/>
      <c r="F23" s="14"/>
      <c r="H23" s="60">
        <v>9.2558649945159596E-2</v>
      </c>
      <c r="I23" s="106" t="s">
        <v>697</v>
      </c>
      <c r="J23" s="106"/>
      <c r="K23" s="107"/>
      <c r="O23" s="19"/>
      <c r="P23" s="19" t="s">
        <v>10</v>
      </c>
      <c r="Q23" s="41">
        <f>SUMIF(P$6:P$15, P23, Q$6:Q$15)</f>
        <v>0.4234234234234252</v>
      </c>
      <c r="R23" s="34">
        <f>SUMIF(P$6:P$15, P23, R$6:R$15)</f>
        <v>5.9279279279279526</v>
      </c>
      <c r="S23" s="9"/>
      <c r="T23" s="19"/>
      <c r="U23" s="19" t="s">
        <v>10</v>
      </c>
      <c r="V23" s="41">
        <f>SUMIF(U$6:U$15, U23, V$6:V$15)</f>
        <v>0</v>
      </c>
      <c r="W23" s="34">
        <f>SUMIF(U$6:U$15, U23, W$6:W$15)</f>
        <v>0</v>
      </c>
      <c r="X23" s="9"/>
      <c r="Y23" s="19"/>
      <c r="Z23" s="19" t="s">
        <v>10</v>
      </c>
      <c r="AA23" s="41">
        <f>SUMIF(Z$6:Z$15, Z23, AA$6:AA$15)</f>
        <v>0.12287581699346405</v>
      </c>
      <c r="AB23" s="34">
        <f>SUMIF(Z$6:Z$15, Z23, AB$6:AB$15)</f>
        <v>0.94</v>
      </c>
      <c r="AC23" s="9"/>
      <c r="AD23" s="19"/>
      <c r="AE23" s="19" t="s">
        <v>10</v>
      </c>
      <c r="AF23" s="41">
        <f>SUMIF(AE$6:AE$15, AE23, AF$6:AF$15)</f>
        <v>1.3168724279835391E-2</v>
      </c>
      <c r="AG23" s="34">
        <f>SUMIF(AE$6:AE$15, AE23, AG$6:AG$15)</f>
        <v>0.32</v>
      </c>
      <c r="AH23" s="9"/>
      <c r="AI23" s="19"/>
      <c r="AJ23" s="19" t="s">
        <v>10</v>
      </c>
      <c r="AK23" s="41">
        <f>SUMIF(AJ$6:AJ$15, AJ23, AK$6:AK$15)</f>
        <v>6.9729729729729725E-2</v>
      </c>
      <c r="AL23" s="34">
        <f>SUMIF(AJ$6:AJ$15, AJ23, AL$6:AL$15)</f>
        <v>1.29</v>
      </c>
      <c r="AM23" s="9"/>
      <c r="AN23" s="19"/>
      <c r="AO23" s="19" t="s">
        <v>10</v>
      </c>
      <c r="AP23" s="41">
        <f>SUMIF(AO$6:AO$15, AO23, AP$6:AP$15)</f>
        <v>1.5472736740310942E-2</v>
      </c>
      <c r="AQ23" s="34">
        <f>SUMIF(AO$6:AO$15, AO23, AQ$6:AQ$15)</f>
        <v>0.41599999999999998</v>
      </c>
      <c r="AR23" s="9"/>
      <c r="AS23" s="19"/>
      <c r="AT23" s="19" t="s">
        <v>10</v>
      </c>
      <c r="AU23" s="41">
        <f>SUMIF(AT$6:AT$15, AT23, AU$6:AU$15)</f>
        <v>0</v>
      </c>
      <c r="AV23" s="34">
        <f>SUMIF(AT$6:AT$15, AT23, AV$6:AV$15)</f>
        <v>0</v>
      </c>
      <c r="AW23" s="5"/>
      <c r="AX23" s="19"/>
      <c r="AY23" s="19" t="s">
        <v>10</v>
      </c>
      <c r="AZ23" s="41">
        <f>SUMIF(AY$6:AY$17, AY23, AZ$6:AZ$17)</f>
        <v>6.7959183673469384E-2</v>
      </c>
      <c r="BA23" s="34">
        <f t="shared" si="8"/>
        <v>0.26639999999999997</v>
      </c>
    </row>
    <row r="24" spans="1:71" ht="15" customHeight="1" x14ac:dyDescent="0.3">
      <c r="A24" s="28"/>
      <c r="B24" s="28"/>
      <c r="C24" s="28"/>
      <c r="D24" s="28"/>
      <c r="E24" s="14"/>
      <c r="F24" s="14"/>
      <c r="H24" s="60">
        <v>3.3102238543647102E-3</v>
      </c>
      <c r="I24" s="106" t="s">
        <v>698</v>
      </c>
      <c r="J24" s="106"/>
      <c r="K24" s="107"/>
      <c r="O24" s="42"/>
      <c r="P24" s="42" t="s">
        <v>32</v>
      </c>
      <c r="Q24" s="43">
        <f>SUM(Q20:Q23)</f>
        <v>1</v>
      </c>
      <c r="R24" s="67">
        <f>SUM(R20:R23)</f>
        <v>14</v>
      </c>
      <c r="S24" s="9"/>
      <c r="T24" s="42"/>
      <c r="U24" s="42" t="s">
        <v>32</v>
      </c>
      <c r="V24" s="43">
        <f>SUM(V20:V23)</f>
        <v>1</v>
      </c>
      <c r="W24" s="44">
        <f>SUM(W20:W23)</f>
        <v>11.4</v>
      </c>
      <c r="X24" s="9"/>
      <c r="Y24" s="42"/>
      <c r="Z24" s="42" t="s">
        <v>32</v>
      </c>
      <c r="AA24" s="43">
        <f>SUM(AA20:AA23)</f>
        <v>1</v>
      </c>
      <c r="AB24" s="44">
        <f>SUM(AB20:AB23)</f>
        <v>7.65</v>
      </c>
      <c r="AC24" s="9"/>
      <c r="AD24" s="42"/>
      <c r="AE24" s="42" t="s">
        <v>32</v>
      </c>
      <c r="AF24" s="43">
        <f>SUM(AF20:AF23)</f>
        <v>1</v>
      </c>
      <c r="AG24" s="44">
        <f>SUM(AG20:AG23)</f>
        <v>24.3</v>
      </c>
      <c r="AH24" s="9"/>
      <c r="AI24" s="42"/>
      <c r="AJ24" s="42" t="s">
        <v>32</v>
      </c>
      <c r="AK24" s="43">
        <f>SUM(AK20:AK23)</f>
        <v>1</v>
      </c>
      <c r="AL24" s="44">
        <f>SUM(AL20:AL23)</f>
        <v>18.5</v>
      </c>
      <c r="AM24" s="9"/>
      <c r="AN24" s="42"/>
      <c r="AO24" s="42" t="s">
        <v>32</v>
      </c>
      <c r="AP24" s="43">
        <f>SUM(AP20:AP23)</f>
        <v>1.0000000000000002</v>
      </c>
      <c r="AQ24" s="44">
        <f>SUM(AQ20:AQ23)</f>
        <v>26.886000000000003</v>
      </c>
      <c r="AR24" s="9"/>
      <c r="AS24" s="42"/>
      <c r="AT24" s="42" t="s">
        <v>32</v>
      </c>
      <c r="AU24" s="43">
        <f>SUM(AU20:AU23)</f>
        <v>1</v>
      </c>
      <c r="AV24" s="44">
        <f>SUM(AV20:AV23)</f>
        <v>13</v>
      </c>
      <c r="AW24" s="5"/>
      <c r="AX24" s="42"/>
      <c r="AY24" s="42" t="s">
        <v>32</v>
      </c>
      <c r="AZ24" s="43">
        <f>SUM(AZ20:AZ23)</f>
        <v>1</v>
      </c>
      <c r="BA24" s="44">
        <f>$AY$3*AZ24</f>
        <v>3.92</v>
      </c>
    </row>
    <row r="25" spans="1:71" ht="15" customHeight="1" x14ac:dyDescent="0.3">
      <c r="A25" s="28"/>
      <c r="B25" s="28"/>
      <c r="C25" s="28"/>
      <c r="D25" s="28"/>
      <c r="E25" s="14"/>
      <c r="F25" s="14"/>
      <c r="H25" s="60">
        <v>2.1577277393902399E-2</v>
      </c>
      <c r="I25" s="106" t="s">
        <v>699</v>
      </c>
      <c r="J25" s="106"/>
      <c r="K25" s="107"/>
    </row>
    <row r="26" spans="1:71" ht="15" customHeight="1" x14ac:dyDescent="0.3">
      <c r="H26" s="60">
        <v>6.51365343116203E-3</v>
      </c>
      <c r="I26" s="106" t="s">
        <v>700</v>
      </c>
      <c r="J26" s="106"/>
      <c r="K26" s="107"/>
    </row>
    <row r="27" spans="1:71" x14ac:dyDescent="0.3">
      <c r="E27" s="45"/>
      <c r="F27" s="45"/>
      <c r="H27" s="60">
        <v>8.2715884528307697E-4</v>
      </c>
      <c r="I27" s="106" t="s">
        <v>701</v>
      </c>
      <c r="J27" s="106"/>
      <c r="K27" s="107"/>
      <c r="O27" s="86" t="s">
        <v>151</v>
      </c>
      <c r="P27" s="86"/>
      <c r="Q27" s="86"/>
      <c r="R27" s="86"/>
      <c r="S27" s="86"/>
      <c r="T27" s="86"/>
      <c r="U27" s="86"/>
      <c r="V27" s="86"/>
      <c r="W27" s="86"/>
      <c r="X27" s="86"/>
      <c r="Y27" s="86"/>
      <c r="Z27" s="86"/>
      <c r="AA27" s="86"/>
      <c r="AB27" s="86"/>
      <c r="AC27" s="87" t="s">
        <v>152</v>
      </c>
      <c r="AD27" s="87"/>
      <c r="AE27" s="35"/>
      <c r="AF27" s="35"/>
      <c r="AG27" s="35"/>
    </row>
    <row r="28" spans="1:71" ht="28.8" x14ac:dyDescent="0.3">
      <c r="E28" s="45"/>
      <c r="F28" s="45"/>
      <c r="H28" s="60">
        <v>9.3303304757168509E-3</v>
      </c>
      <c r="I28" s="106" t="s">
        <v>702</v>
      </c>
      <c r="J28" s="106"/>
      <c r="K28" s="107"/>
      <c r="O28" s="73" t="str">
        <f>IF(ISBLANK('[1]Nickel Qualified Studies'!A1),"",'[1]Nickel Qualified Studies'!A1)</f>
        <v>Source</v>
      </c>
      <c r="P28" s="73" t="str">
        <f>IF(ISBLANK('[1]Nickel Qualified Studies'!B1),"",'[1]Nickel Qualified Studies'!B1)</f>
        <v>Title</v>
      </c>
      <c r="Q28" s="73" t="str">
        <f>IF(ISBLANK('[1]Nickel Qualified Studies'!C1),"",'[1]Nickel Qualified Studies'!C1)</f>
        <v>Link</v>
      </c>
      <c r="R28" s="73" t="str">
        <f>IF(ISBLANK('[1]Nickel Qualified Studies'!D1),"",'[1]Nickel Qualified Studies'!D1)</f>
        <v>Source type</v>
      </c>
      <c r="S28" s="73" t="str">
        <f>IF(ISBLANK('[1]Nickel Qualified Studies'!E1),"",'[1]Nickel Qualified Studies'!E1)</f>
        <v>Total emissions [kgCO2eq/kg]</v>
      </c>
      <c r="T28" s="74" t="str">
        <f>IF(ISBLANK('[1]Nickel Qualified Studies'!F1),"",'[1]Nickel Qualified Studies'!F1)</f>
        <v>Harmonised emissions [kg_CO2eq/kg_NiSO4_anhydrous]</v>
      </c>
      <c r="U28" s="73" t="str">
        <f>IF(ISBLANK('[1]Nickel Qualified Studies'!G1),"",'[1]Nickel Qualified Studies'!G1)</f>
        <v>Primary data?</v>
      </c>
      <c r="V28" s="73" t="str">
        <f>IF(ISBLANK('[1]Nickel Qualified Studies'!H1),"",'[1]Nickel Qualified Studies'!H1)</f>
        <v>Functional unit?</v>
      </c>
      <c r="W28" s="73" t="str">
        <f>IF(ISBLANK('[1]Nickel Qualified Studies'!I1),"",'[1]Nickel Qualified Studies'!I1)</f>
        <v>System boundaries</v>
      </c>
      <c r="X28" s="73" t="str">
        <f>IF(ISBLANK('[1]Nickel Qualified Studies'!J1),"",'[1]Nickel Qualified Studies'!J1)</f>
        <v>Methodological transparency</v>
      </c>
      <c r="Y28" s="73" t="str">
        <f>IF(ISBLANK('[1]Nickel Qualified Studies'!K1),"",'[1]Nickel Qualified Studies'!K1)</f>
        <v>Process / ore type?</v>
      </c>
      <c r="Z28" s="73" t="str">
        <f>IF(ISBLANK('[1]Nickel Qualified Studies'!L1),"",'[1]Nickel Qualified Studies'!L1)</f>
        <v>Found via</v>
      </c>
      <c r="AA28" s="73" t="str">
        <f>IF(ISBLANK('[1]Nickel Qualified Studies'!M1),"",'[1]Nickel Qualified Studies'!M1)</f>
        <v>Location of production</v>
      </c>
      <c r="AB28" s="73" t="str">
        <f>IF(ISBLANK('[1]Nickel Qualified Studies'!N1),"",'[1]Nickel Qualified Studies'!N1)</f>
        <v>Mine</v>
      </c>
      <c r="AC28" s="75" t="s">
        <v>110</v>
      </c>
      <c r="AD28" s="76" t="s">
        <v>143</v>
      </c>
    </row>
    <row r="29" spans="1:71" ht="28.8" x14ac:dyDescent="0.3">
      <c r="B29" s="1"/>
      <c r="C29" s="1"/>
      <c r="D29" s="1"/>
      <c r="E29" s="1"/>
      <c r="F29" s="1"/>
      <c r="H29" s="60">
        <v>0.103788664365738</v>
      </c>
      <c r="I29" s="106" t="s">
        <v>703</v>
      </c>
      <c r="J29" s="106"/>
      <c r="K29" s="107"/>
      <c r="N29" s="1" t="str">
        <f>IF(O29="Nickel Institute (2021)","","ERROR - check row order of Notion export")</f>
        <v/>
      </c>
      <c r="O29" s="73" t="str">
        <f>IF(ISBLANK('[1]Nickel Qualified Studies'!A2),"",'[1]Nickel Qualified Studies'!A2)</f>
        <v>Nickel Institute (2021)</v>
      </c>
      <c r="P29" s="73" t="str">
        <f>IF(ISBLANK('[1]Nickel Qualified Studies'!B2),"",'[1]Nickel Qualified Studies'!B2)</f>
        <v>Nickel sulphate life cycle data</v>
      </c>
      <c r="Q29" s="73" t="str">
        <f>IF(ISBLANK('[1]Nickel Qualified Studies'!C2),"",'[1]Nickel Qualified Studies'!C2)</f>
        <v>https://nickelinstitute.org/en/policy/nickel-life-cycle-management/nickel-life-cycle-data/</v>
      </c>
      <c r="R29" s="73" t="str">
        <f>IF(ISBLANK('[1]Nickel Qualified Studies'!D2),"",'[1]Nickel Qualified Studies'!D2)</f>
        <v>Report</v>
      </c>
      <c r="S29" s="74" t="str">
        <f>IF(ISBLANK('[1]Nickel Qualified Studies'!E2),"",'[1]Nickel Qualified Studies'!E2)</f>
        <v>4 kg CO2eq/ kg NiSO4.6(H2O) (22% of Ni content)</v>
      </c>
      <c r="T29" s="74" t="str">
        <f>IF(ISBLANK('[1]Nickel Qualified Studies'!F2),"",'[1]Nickel Qualified Studies'!F2)</f>
        <v xml:space="preserve">6.79393 kg_CO2e/kg_NiSO4_anh
</v>
      </c>
      <c r="U29" s="73" t="str">
        <f>IF(ISBLANK('[1]Nickel Qualified Studies'!G2),"",'[1]Nickel Qualified Studies'!G2)</f>
        <v>yes ⇒ data from 24 production sites from nine Nickel Institute member companies https://nickelinstitute.org/policy/nickel-life-cycle-management/nickel-life-cycle-data/</v>
      </c>
      <c r="V29" s="73" t="str">
        <f>IF(ISBLANK('[1]Nickel Qualified Studies'!H2),"",'[1]Nickel Qualified Studies'!H2)</f>
        <v>kg NiSO4.6(H2O)</v>
      </c>
      <c r="W29" s="73" t="str">
        <f>IF(ISBLANK('[1]Nickel Qualified Studies'!I2),"",'[1]Nickel Qualified Studies'!I2)</f>
        <v>probably from ore extraction to nickel sulphate production</v>
      </c>
      <c r="X29" s="73" t="str">
        <f>IF(ISBLANK('[1]Nickel Qualified Studies'!J2),"",'[1]Nickel Qualified Studies'!J2)</f>
        <v>+ transparent, ++ transparent</v>
      </c>
      <c r="Y29" s="73" t="str">
        <f>IF(ISBLANK('[1]Nickel Qualified Studies'!K2),"",'[1]Nickel Qualified Studies'!K2)</f>
        <v>Nickel sulfate</v>
      </c>
      <c r="Z29" s="73" t="str">
        <f>IF(ISBLANK('[1]Nickel Qualified Studies'!L2),"",'[1]Nickel Qualified Studies'!L2)</f>
        <v>google search</v>
      </c>
      <c r="AA29" s="73" t="str">
        <f>IF(ISBLANK('[1]Nickel Qualified Studies'!M2),"",'[1]Nickel Qualified Studies'!M2)</f>
        <v>Global</v>
      </c>
      <c r="AB29" s="73" t="str">
        <f>IF(ISBLANK('[1]Nickel Qualified Studies'!N2),"",'[1]Nickel Qualified Studies'!N2)</f>
        <v/>
      </c>
      <c r="AC29" s="77" t="b">
        <v>1</v>
      </c>
      <c r="AD29" s="78"/>
      <c r="BH29" s="35"/>
      <c r="BI29" s="35"/>
      <c r="BJ29" s="35"/>
      <c r="BK29" s="35"/>
    </row>
    <row r="30" spans="1:71" ht="100.8" x14ac:dyDescent="0.3">
      <c r="B30" s="6"/>
      <c r="C30" s="6"/>
      <c r="D30" s="6"/>
      <c r="H30" s="68">
        <f>SUM(H21:H29)</f>
        <v>0.59280801079407586</v>
      </c>
      <c r="I30" s="96" t="s">
        <v>706</v>
      </c>
      <c r="J30" s="96"/>
      <c r="K30" s="97"/>
      <c r="N30" s="1" t="str">
        <f>IF(O30="Wei et al (2020)","","ERROR - check row order of Notion export")</f>
        <v/>
      </c>
      <c r="O30" s="73" t="str">
        <f>IF(ISBLANK('[1]Nickel Qualified Studies'!A3),"",'[1]Nickel Qualified Studies'!A3)</f>
        <v>Wei et al (2020)</v>
      </c>
      <c r="P30" s="73" t="str">
        <f>IF(ISBLANK('[1]Nickel Qualified Studies'!B3),"",'[1]Nickel Qualified Studies'!B3)</f>
        <v>Energy Consumption and Greenhouse Gas Emissions of Nickel Products</v>
      </c>
      <c r="Q30" s="73" t="str">
        <f>IF(ISBLANK('[1]Nickel Qualified Studies'!C3),"",'[1]Nickel Qualified Studies'!C3)</f>
        <v>https://www.mdpi.com/1996-1073/13/21/5664</v>
      </c>
      <c r="R30" s="73" t="str">
        <f>IF(ISBLANK('[1]Nickel Qualified Studies'!D3),"",'[1]Nickel Qualified Studies'!D3)</f>
        <v>Literature</v>
      </c>
      <c r="S30" s="74" t="str">
        <f>IF(ISBLANK('[1]Nickel Qualified Studies'!E3),"",'[1]Nickel Qualified Studies'!E3)</f>
        <v xml:space="preserve">Sulfide ore: 
required production energy: 174 GJ/t alloy (Ni metal = 100%Ni)
associated GHG emissions: 14 tCO2-eq/t alloy (alloy = Ni metal)
</v>
      </c>
      <c r="T30" s="74" t="str">
        <f>IF(ISBLANK('[1]Nickel Qualified Studies'!F3),"",'[1]Nickel Qualified Studies'!F3)</f>
        <v>6.182178371 kg_CO2e/kg_NiSO4_anh</v>
      </c>
      <c r="U30" s="73" t="str">
        <f>IF(ISBLANK('[1]Nickel Qualified Studies'!G3),"",'[1]Nickel Qualified Studies'!G3)</f>
        <v>probably no</v>
      </c>
      <c r="V30" s="73" t="str">
        <f>IF(ISBLANK('[1]Nickel Qualified Studies'!H3),"",'[1]Nickel Qualified Studies'!H3)</f>
        <v>one ton of nickel alloy product
alloy in our case = Ni metal (=100%Ni)</v>
      </c>
      <c r="W30" s="73" t="str">
        <f>IF(ISBLANK('[1]Nickel Qualified Studies'!I3),"",'[1]Nickel Qualified Studies'!I3)</f>
        <v>see Chapter 3.1 ⇒ system boundary includes the mining, pre-processing (beneficiation, drying, calcination, sulfidation, sintering), smelting, post-processing settling, converting, refining, roasting)</v>
      </c>
      <c r="X30" s="73" t="str">
        <f>IF(ISBLANK('[1]Nickel Qualified Studies'!J3),"",'[1]Nickel Qualified Studies'!J3)</f>
        <v>+ transparent, - intransparent</v>
      </c>
      <c r="Y30" s="73" t="str">
        <f>IF(ISBLANK('[1]Nickel Qualified Studies'!K3),"",'[1]Nickel Qualified Studies'!K3)</f>
        <v>Nickel class I</v>
      </c>
      <c r="Z30" s="73" t="str">
        <f>IF(ISBLANK('[1]Nickel Qualified Studies'!L3),"",'[1]Nickel Qualified Studies'!L3)</f>
        <v>systematic lit rev</v>
      </c>
      <c r="AA30" s="73" t="str">
        <f>IF(ISBLANK('[1]Nickel Qualified Studies'!M3),"",'[1]Nickel Qualified Studies'!M3)</f>
        <v>Australia</v>
      </c>
      <c r="AB30" s="73" t="str">
        <f>IF(ISBLANK('[1]Nickel Qualified Studies'!N3),"",'[1]Nickel Qualified Studies'!N3)</f>
        <v/>
      </c>
      <c r="AC30" s="77" t="b">
        <v>1</v>
      </c>
      <c r="AD30" s="78"/>
    </row>
    <row r="31" spans="1:71" ht="144" x14ac:dyDescent="0.3">
      <c r="B31" s="6"/>
      <c r="C31" s="6"/>
      <c r="D31" s="6"/>
      <c r="N31" s="1" t="str">
        <f>IF(O31="Norgate &amp; Rankin (2000)","","ERROR - check row order of Notion export")</f>
        <v/>
      </c>
      <c r="O31" s="73" t="str">
        <f>IF(ISBLANK('[1]Nickel Qualified Studies'!A4),"",'[1]Nickel Qualified Studies'!A4)</f>
        <v>Norgate &amp; Rankin (2000)</v>
      </c>
      <c r="P31" s="73" t="str">
        <f>IF(ISBLANK('[1]Nickel Qualified Studies'!B4),"",'[1]Nickel Qualified Studies'!B4)</f>
        <v>Life cycle assessment of copper and nickel production</v>
      </c>
      <c r="Q31" s="73" t="str">
        <f>IF(ISBLANK('[1]Nickel Qualified Studies'!C4),"",'[1]Nickel Qualified Studies'!C4)</f>
        <v>https://www.researchgate.net/publication/279666598_Life_cycle_assessment_of_copper_and_nickel_production</v>
      </c>
      <c r="R31" s="73" t="str">
        <f>IF(ISBLANK('[1]Nickel Qualified Studies'!D4),"",'[1]Nickel Qualified Studies'!D4)</f>
        <v>Literature</v>
      </c>
      <c r="S31" s="74" t="str">
        <f>IF(ISBLANK('[1]Nickel Qualified Studies'!E4),"",'[1]Nickel Qualified Studies'!E4)</f>
        <v>sulfide ores (flash furnace smelting and Sheritt-Gordon refining)
- total energy: 114 MJ/kg
- GWP: 11.4 kg CO2eq/kg
laterite ores (pressure acid leaching and solvent extraction (SX)/electrowinning (EW))
- total energy: 194 MJ/kg
- GWP: 16.1 kg CO2eq/kg</v>
      </c>
      <c r="T31" s="74" t="str">
        <f>IF(ISBLANK('[1]Nickel Qualified Studies'!F4),"",'[1]Nickel Qualified Studies'!F4)</f>
        <v>Sulph: 5.144152447 kg_CO2e/kg_NiSO4_anh
Lat: 7.020583925 kg_CO2e/kg_NiSO4_anh</v>
      </c>
      <c r="U31" s="73" t="str">
        <f>IF(ISBLANK('[1]Nickel Qualified Studies'!G4),"",'[1]Nickel Qualified Studies'!G4)</f>
        <v>no</v>
      </c>
      <c r="V31" s="73" t="str">
        <f>IF(ISBLANK('[1]Nickel Qualified Studies'!H4),"",'[1]Nickel Qualified Studies'!H4)</f>
        <v>kg Ni metal</v>
      </c>
      <c r="W31" s="73" t="str">
        <f>IF(ISBLANK('[1]Nickel Qualified Studies'!I4),"",'[1]Nickel Qualified Studies'!I4)</f>
        <v>from cradle to end of refining</v>
      </c>
      <c r="X31" s="73" t="str">
        <f>IF(ISBLANK('[1]Nickel Qualified Studies'!J4),"",'[1]Nickel Qualified Studies'!J4)</f>
        <v>- intransparent</v>
      </c>
      <c r="Y31" s="73" t="str">
        <f>IF(ISBLANK('[1]Nickel Qualified Studies'!K4),"",'[1]Nickel Qualified Studies'!K4)</f>
        <v>Nickel class I</v>
      </c>
      <c r="Z31" s="73" t="str">
        <f>IF(ISBLANK('[1]Nickel Qualified Studies'!L4),"",'[1]Nickel Qualified Studies'!L4)</f>
        <v>backward citation</v>
      </c>
      <c r="AA31" s="73" t="str">
        <f>IF(ISBLANK('[1]Nickel Qualified Studies'!M4),"",'[1]Nickel Qualified Studies'!M4)</f>
        <v>Unclear</v>
      </c>
      <c r="AB31" s="73" t="str">
        <f>IF(ISBLANK('[1]Nickel Qualified Studies'!N4),"",'[1]Nickel Qualified Studies'!N4)</f>
        <v/>
      </c>
      <c r="AC31" s="77" t="b">
        <v>1</v>
      </c>
      <c r="AD31" s="78"/>
    </row>
    <row r="32" spans="1:71" ht="28.8" x14ac:dyDescent="0.3">
      <c r="B32" s="1"/>
      <c r="C32" s="1"/>
      <c r="D32" s="1"/>
      <c r="E32" s="1"/>
      <c r="F32" s="1"/>
      <c r="N32" s="1" t="str">
        <f>IF(O32="Deng &amp; Gong (2018)","","ERROR - check row order of Notion export")</f>
        <v/>
      </c>
      <c r="O32" s="73" t="str">
        <f>IF(ISBLANK('[1]Nickel Qualified Studies'!A5),"",'[1]Nickel Qualified Studies'!A5)</f>
        <v>Deng &amp; Gong (2018)</v>
      </c>
      <c r="P32" s="73" t="str">
        <f>IF(ISBLANK('[1]Nickel Qualified Studies'!B5),"",'[1]Nickel Qualified Studies'!B5)</f>
        <v>Life Cycle Assessment of Nickel Production in China</v>
      </c>
      <c r="Q32" s="73" t="str">
        <f>IF(ISBLANK('[1]Nickel Qualified Studies'!C5),"",'[1]Nickel Qualified Studies'!C5)</f>
        <v>https://www.scientific.net/MSF.913.1004</v>
      </c>
      <c r="R32" s="73" t="str">
        <f>IF(ISBLANK('[1]Nickel Qualified Studies'!D5),"",'[1]Nickel Qualified Studies'!D5)</f>
        <v>Literature</v>
      </c>
      <c r="S32" s="74" t="str">
        <f>IF(ISBLANK('[1]Nickel Qualified Studies'!E5),"",'[1]Nickel Qualified Studies'!E5)</f>
        <v>26.90kg CO2 eq / kg electrolytic nickel</v>
      </c>
      <c r="T32" s="74" t="str">
        <f>IF(ISBLANK('[1]Nickel Qualified Studies'!F5),"",'[1]Nickel Qualified Studies'!F5)</f>
        <v>11.332383917 kg_CO2e/kg_NiSO4_anh</v>
      </c>
      <c r="U32" s="73" t="str">
        <f>IF(ISBLANK('[1]Nickel Qualified Studies'!G5),"",'[1]Nickel Qualified Studies'!G5)</f>
        <v>no 
data from national statstic or process data. emissions calculated based on IPCC.</v>
      </c>
      <c r="V32" s="73" t="str">
        <f>IF(ISBLANK('[1]Nickel Qualified Studies'!H5),"",'[1]Nickel Qualified Studies'!H5)</f>
        <v>1kg electrolytic nickel</v>
      </c>
      <c r="W32" s="73" t="str">
        <f>IF(ISBLANK('[1]Nickel Qualified Studies'!I5),"",'[1]Nickel Qualified Studies'!I5)</f>
        <v>see screenshot</v>
      </c>
      <c r="X32" s="73" t="str">
        <f>IF(ISBLANK('[1]Nickel Qualified Studies'!J5),"",'[1]Nickel Qualified Studies'!J5)</f>
        <v>- intransparent</v>
      </c>
      <c r="Y32" s="73" t="str">
        <f>IF(ISBLANK('[1]Nickel Qualified Studies'!K5),"",'[1]Nickel Qualified Studies'!K5)</f>
        <v>Nickel class I</v>
      </c>
      <c r="Z32" s="73" t="str">
        <f>IF(ISBLANK('[1]Nickel Qualified Studies'!L5),"",'[1]Nickel Qualified Studies'!L5)</f>
        <v>backward citation</v>
      </c>
      <c r="AA32" s="73" t="str">
        <f>IF(ISBLANK('[1]Nickel Qualified Studies'!M5),"",'[1]Nickel Qualified Studies'!M5)</f>
        <v>China</v>
      </c>
      <c r="AB32" s="73" t="str">
        <f>IF(ISBLANK('[1]Nickel Qualified Studies'!N5),"",'[1]Nickel Qualified Studies'!N5)</f>
        <v/>
      </c>
      <c r="AC32" s="77" t="b">
        <v>1</v>
      </c>
      <c r="AD32" s="78"/>
    </row>
    <row r="33" spans="2:59" ht="28.8" x14ac:dyDescent="0.3">
      <c r="B33" s="1"/>
      <c r="C33" s="1"/>
      <c r="D33" s="1"/>
      <c r="E33" s="1"/>
      <c r="F33" s="1"/>
      <c r="N33" s="1" t="str">
        <f>IF(O33="Mistry et al (2016)","","ERROR - check row order of Notion export")</f>
        <v/>
      </c>
      <c r="O33" s="73" t="str">
        <f>IF(ISBLANK('[1]Nickel Qualified Studies'!A6),"",'[1]Nickel Qualified Studies'!A6)</f>
        <v>Mistry et al (2016)</v>
      </c>
      <c r="P33" s="73" t="str">
        <f>IF(ISBLANK('[1]Nickel Qualified Studies'!B6),"",'[1]Nickel Qualified Studies'!B6)</f>
        <v>Life cycle assessment of nickel products</v>
      </c>
      <c r="Q33" s="73" t="str">
        <f>IF(ISBLANK('[1]Nickel Qualified Studies'!C6),"",'[1]Nickel Qualified Studies'!C6)</f>
        <v>https://link.springer.com/article/10.1007/s11367-016-1085-x</v>
      </c>
      <c r="R33" s="73" t="str">
        <f>IF(ISBLANK('[1]Nickel Qualified Studies'!D6),"",'[1]Nickel Qualified Studies'!D6)</f>
        <v>Literature</v>
      </c>
      <c r="S33" s="74" t="str">
        <f>IF(ISBLANK('[1]Nickel Qualified Studies'!E6),"",'[1]Nickel Qualified Studies'!E6)</f>
        <v>7.64 kg CO2e/kg class 1 nickel</v>
      </c>
      <c r="T33" s="74" t="str">
        <f>IF(ISBLANK('[1]Nickel Qualified Studies'!F6),"",'[1]Nickel Qualified Studies'!F6)</f>
        <v>3.6430072646 kg_CO2e/kg_NiSO4_anh</v>
      </c>
      <c r="U33" s="73" t="str">
        <f>IF(ISBLANK('[1]Nickel Qualified Studies'!G6),"",'[1]Nickel Qualified Studies'!G6)</f>
        <v>yes</v>
      </c>
      <c r="V33" s="73" t="str">
        <f>IF(ISBLANK('[1]Nickel Qualified Studies'!H6),"",'[1]Nickel Qualified Studies'!H6)</f>
        <v>1 kg of nickel contained in nickel product at factory gate ⇒ class 1 nickel is defined as 100% nickel</v>
      </c>
      <c r="W33" s="73" t="str">
        <f>IF(ISBLANK('[1]Nickel Qualified Studies'!I6),"",'[1]Nickel Qualified Studies'!I6)</f>
        <v>see screenshot</v>
      </c>
      <c r="X33" s="73" t="str">
        <f>IF(ISBLANK('[1]Nickel Qualified Studies'!J6),"",'[1]Nickel Qualified Studies'!J6)</f>
        <v>+ transparent, ++ transparent</v>
      </c>
      <c r="Y33" s="73" t="str">
        <f>IF(ISBLANK('[1]Nickel Qualified Studies'!K6),"",'[1]Nickel Qualified Studies'!K6)</f>
        <v>Nickel class I</v>
      </c>
      <c r="Z33" s="73" t="str">
        <f>IF(ISBLANK('[1]Nickel Qualified Studies'!L6),"",'[1]Nickel Qualified Studies'!L6)</f>
        <v>backward citation</v>
      </c>
      <c r="AA33" s="73" t="str">
        <f>IF(ISBLANK('[1]Nickel Qualified Studies'!M6),"",'[1]Nickel Qualified Studies'!M6)</f>
        <v>Global</v>
      </c>
      <c r="AB33" s="73" t="str">
        <f>IF(ISBLANK('[1]Nickel Qualified Studies'!N6),"",'[1]Nickel Qualified Studies'!N6)</f>
        <v/>
      </c>
      <c r="AC33" s="77" t="b">
        <v>1</v>
      </c>
      <c r="AD33" s="78"/>
    </row>
    <row r="34" spans="2:59" s="6" customFormat="1" ht="57.6" x14ac:dyDescent="0.3">
      <c r="N34" s="1" t="str">
        <f>IF(O34="Norgate and Jahanshahi (2011)","","ERROR - check row order of Notion export")</f>
        <v/>
      </c>
      <c r="O34" s="73" t="str">
        <f>IF(ISBLANK('[1]Nickel Qualified Studies'!A7),"",'[1]Nickel Qualified Studies'!A7)</f>
        <v>Norgate and Jahanshahi (2011)</v>
      </c>
      <c r="P34" s="73" t="str">
        <f>IF(ISBLANK('[1]Nickel Qualified Studies'!B7),"",'[1]Nickel Qualified Studies'!B7)</f>
        <v>Assessing the energy and greenhouse gas footprints of nickel laterite processing</v>
      </c>
      <c r="Q34" s="73" t="str">
        <f>IF(ISBLANK('[1]Nickel Qualified Studies'!C7),"",'[1]Nickel Qualified Studies'!C7)</f>
        <v>https://www.sciencedirect.com/science/article/pii/S0892687510002803#t0005</v>
      </c>
      <c r="R34" s="73" t="str">
        <f>IF(ISBLANK('[1]Nickel Qualified Studies'!D7),"",'[1]Nickel Qualified Studies'!D7)</f>
        <v>Literature</v>
      </c>
      <c r="S34" s="74" t="str">
        <f>IF(ISBLANK('[1]Nickel Qualified Studies'!E7),"",'[1]Nickel Qualified Studies'!E7)</f>
        <v>HPAL: 22.7 t CO2e/ t Ni metal
(without acid plant: 27.3 t CO2e/ t Ni metal)</v>
      </c>
      <c r="T34" s="74" t="str">
        <f>IF(ISBLANK('[1]Nickel Qualified Studies'!F7),"",'[1]Nickel Qualified Studies'!F7)</f>
        <v>9.655572809 kg_CO2e/kg_NiSO4_anh</v>
      </c>
      <c r="U34" s="73" t="str">
        <f>IF(ISBLANK('[1]Nickel Qualified Studies'!G7),"",'[1]Nickel Qualified Studies'!G7)</f>
        <v>no</v>
      </c>
      <c r="V34" s="73" t="str">
        <f>IF(ISBLANK('[1]Nickel Qualified Studies'!H7),"",'[1]Nickel Qualified Studies'!H7)</f>
        <v>1 ton of nickel metal</v>
      </c>
      <c r="W34" s="73" t="str">
        <f>IF(ISBLANK('[1]Nickel Qualified Studies'!I7),"",'[1]Nickel Qualified Studies'!I7)</f>
        <v>see screenshot</v>
      </c>
      <c r="X34" s="73" t="str">
        <f>IF(ISBLANK('[1]Nickel Qualified Studies'!J7),"",'[1]Nickel Qualified Studies'!J7)</f>
        <v>-- intransparent</v>
      </c>
      <c r="Y34" s="73" t="str">
        <f>IF(ISBLANK('[1]Nickel Qualified Studies'!K7),"",'[1]Nickel Qualified Studies'!K7)</f>
        <v>Nickel class I</v>
      </c>
      <c r="Z34" s="73" t="str">
        <f>IF(ISBLANK('[1]Nickel Qualified Studies'!L7),"",'[1]Nickel Qualified Studies'!L7)</f>
        <v>backward citation</v>
      </c>
      <c r="AA34" s="73" t="str">
        <f>IF(ISBLANK('[1]Nickel Qualified Studies'!M7),"",'[1]Nickel Qualified Studies'!M7)</f>
        <v>Australia, Unclear</v>
      </c>
      <c r="AB34" s="73" t="str">
        <f>IF(ISBLANK('[1]Nickel Qualified Studies'!N7),"",'[1]Nickel Qualified Studies'!N7)</f>
        <v/>
      </c>
      <c r="AC34" s="77" t="b">
        <v>0</v>
      </c>
      <c r="AD34" s="78" t="s">
        <v>676</v>
      </c>
    </row>
    <row r="35" spans="2:59" ht="72" x14ac:dyDescent="0.3">
      <c r="N35" s="1" t="str">
        <f>IF(O35="Bai et al (2022)","","ERROR - check row order of Notion export")</f>
        <v/>
      </c>
      <c r="O35" s="73" t="str">
        <f>IF(ISBLANK('[1]Nickel Qualified Studies'!A8),"",'[1]Nickel Qualified Studies'!A8)</f>
        <v>Bai et al (2022)</v>
      </c>
      <c r="P35" s="73" t="str">
        <f>IF(ISBLANK('[1]Nickel Qualified Studies'!B8),"",'[1]Nickel Qualified Studies'!B8)</f>
        <v>Strategies for improving the environmental perfomance of nickel production in China: Insight into a life cycle assessment</v>
      </c>
      <c r="Q35" s="73" t="str">
        <f>IF(ISBLANK('[1]Nickel Qualified Studies'!C8),"",'[1]Nickel Qualified Studies'!C8)</f>
        <v>https://www.sciencedirect.com/science/article/pii/S0301479722005229?via%3Dihub</v>
      </c>
      <c r="R35" s="73" t="str">
        <f>IF(ISBLANK('[1]Nickel Qualified Studies'!D8),"",'[1]Nickel Qualified Studies'!D8)</f>
        <v>Literature</v>
      </c>
      <c r="S35" s="74" t="str">
        <f>IF(ISBLANK('[1]Nickel Qualified Studies'!E8),"",'[1]Nickel Qualified Studies'!E8)</f>
        <v>GFEM: 24.30 kg CO2e/kg nickel metal (Grinding, Flotation Electrolytic Method)
LEM: 18.50 kg CO2e/kg nickel metal (Leaching, Electrowinning Method)</v>
      </c>
      <c r="T35" s="74" t="str">
        <f>IF(ISBLANK('[1]Nickel Qualified Studies'!F8),"",'[1]Nickel Qualified Studies'!F8)</f>
        <v>GFEM: 10.294357993 kg_CO2e/kg_NiSO4_anh
LEM: 7.978761701 kg_CO2e/kg_NiSO4_anh</v>
      </c>
      <c r="U35" s="73" t="str">
        <f>IF(ISBLANK('[1]Nickel Qualified Studies'!G8),"",'[1]Nickel Qualified Studies'!G8)</f>
        <v>publication based on primary data studies, but no original primary data intorduced</v>
      </c>
      <c r="V35" s="73" t="str">
        <f>IF(ISBLANK('[1]Nickel Qualified Studies'!H8),"",'[1]Nickel Qualified Studies'!H8)</f>
        <v>1 ton of electrolytic nickel production</v>
      </c>
      <c r="W35" s="73" t="str">
        <f>IF(ISBLANK('[1]Nickel Qualified Studies'!I8),"",'[1]Nickel Qualified Studies'!I8)</f>
        <v>see screenshot</v>
      </c>
      <c r="X35" s="73" t="str">
        <f>IF(ISBLANK('[1]Nickel Qualified Studies'!J8),"",'[1]Nickel Qualified Studies'!J8)</f>
        <v>++ transparent</v>
      </c>
      <c r="Y35" s="73" t="str">
        <f>IF(ISBLANK('[1]Nickel Qualified Studies'!K8),"",'[1]Nickel Qualified Studies'!K8)</f>
        <v>Nickel class I</v>
      </c>
      <c r="Z35" s="73" t="str">
        <f>IF(ISBLANK('[1]Nickel Qualified Studies'!L8),"",'[1]Nickel Qualified Studies'!L8)</f>
        <v>backward citation</v>
      </c>
      <c r="AA35" s="73" t="str">
        <f>IF(ISBLANK('[1]Nickel Qualified Studies'!M8),"",'[1]Nickel Qualified Studies'!M8)</f>
        <v>China</v>
      </c>
      <c r="AB35" s="73" t="str">
        <f>IF(ISBLANK('[1]Nickel Qualified Studies'!N8),"",'[1]Nickel Qualified Studies'!N8)</f>
        <v/>
      </c>
      <c r="AC35" s="77" t="b">
        <v>1</v>
      </c>
      <c r="AD35" s="80"/>
    </row>
    <row r="36" spans="2:59" ht="28.8" x14ac:dyDescent="0.3">
      <c r="N36" s="1" t="str">
        <f>IF(O36="Bollwein (2022)","","ERROR - check row order of Notion export")</f>
        <v/>
      </c>
      <c r="O36" s="73" t="str">
        <f>IF(ISBLANK('[1]Nickel Qualified Studies'!A9),"",'[1]Nickel Qualified Studies'!A9)</f>
        <v>Bollwein (2022)</v>
      </c>
      <c r="P36" s="73" t="str">
        <f>IF(ISBLANK('[1]Nickel Qualified Studies'!B9),"",'[1]Nickel Qualified Studies'!B9)</f>
        <v>Comparative life cycle assessment of prospective battery-grade material production in Norway</v>
      </c>
      <c r="Q36" s="73" t="str">
        <f>IF(ISBLANK('[1]Nickel Qualified Studies'!C9),"",'[1]Nickel Qualified Studies'!C9)</f>
        <v>https://hdl.handle.net/11250/3023809</v>
      </c>
      <c r="R36" s="73" t="str">
        <f>IF(ISBLANK('[1]Nickel Qualified Studies'!D9),"",'[1]Nickel Qualified Studies'!D9)</f>
        <v>Report</v>
      </c>
      <c r="S36" s="74" t="str">
        <f>IF(ISBLANK('[1]Nickel Qualified Studies'!E9),"",'[1]Nickel Qualified Studies'!E9)</f>
        <v xml:space="preserve">3.92 kgCO2eq. per kg nickel sulfate anhydrous </v>
      </c>
      <c r="T36" s="74" t="str">
        <f>IF(ISBLANK('[1]Nickel Qualified Studies'!F9),"",'[1]Nickel Qualified Studies'!F9)</f>
        <v>3.92 kg_CO2e/kg_NiSO4_anh</v>
      </c>
      <c r="U36" s="73" t="str">
        <f>IF(ISBLANK('[1]Nickel Qualified Studies'!G9),"",'[1]Nickel Qualified Studies'!G9)</f>
        <v>yes</v>
      </c>
      <c r="V36" s="73" t="str">
        <f>IF(ISBLANK('[1]Nickel Qualified Studies'!H9),"",'[1]Nickel Qualified Studies'!H9)</f>
        <v>1 kg Nickel sulfate anhydrous  (hypothesized)</v>
      </c>
      <c r="W36" s="73" t="str">
        <f>IF(ISBLANK('[1]Nickel Qualified Studies'!I9),"",'[1]Nickel Qualified Studies'!I9)</f>
        <v>screenshot</v>
      </c>
      <c r="X36" s="73" t="str">
        <f>IF(ISBLANK('[1]Nickel Qualified Studies'!J9),"",'[1]Nickel Qualified Studies'!J9)</f>
        <v>+ transparent</v>
      </c>
      <c r="Y36" s="73" t="str">
        <f>IF(ISBLANK('[1]Nickel Qualified Studies'!K9),"",'[1]Nickel Qualified Studies'!K9)</f>
        <v>Nickel sulfate</v>
      </c>
      <c r="Z36" s="73" t="str">
        <f>IF(ISBLANK('[1]Nickel Qualified Studies'!L9),"",'[1]Nickel Qualified Studies'!L9)</f>
        <v>google search</v>
      </c>
      <c r="AA36" s="73" t="str">
        <f>IF(ISBLANK('[1]Nickel Qualified Studies'!M9),"",'[1]Nickel Qualified Studies'!M9)</f>
        <v>Canada, Norway</v>
      </c>
      <c r="AB36" s="73" t="str">
        <f>IF(ISBLANK('[1]Nickel Qualified Studies'!N9),"",'[1]Nickel Qualified Studies'!N9)</f>
        <v>Glencore Nikkelverk</v>
      </c>
      <c r="AC36" s="79" t="b">
        <v>1</v>
      </c>
      <c r="AD36" s="80"/>
    </row>
    <row r="37" spans="2:59" x14ac:dyDescent="0.3">
      <c r="N37" s="1" t="str">
        <f>IF(O37="GREET 2022 [mixed]","","ERROR - check row order of Notion export")</f>
        <v/>
      </c>
      <c r="O37" s="73" t="str">
        <f>IF(ISBLANK('[1]Nickel Qualified Studies'!A10),"",'[1]Nickel Qualified Studies'!A10)</f>
        <v>GREET 2022 [mixed]</v>
      </c>
      <c r="P37" s="73" t="str">
        <f>IF(ISBLANK('[1]Nickel Qualified Studies'!B10),"",'[1]Nickel Qualified Studies'!B10)</f>
        <v>GREET 2022 .net</v>
      </c>
      <c r="Q37" s="73" t="str">
        <f>IF(ISBLANK('[1]Nickel Qualified Studies'!C10),"",'[1]Nickel Qualified Studies'!C10)</f>
        <v>https://greet.anl.gov/</v>
      </c>
      <c r="R37" s="73" t="str">
        <f>IF(ISBLANK('[1]Nickel Qualified Studies'!D10),"",'[1]Nickel Qualified Studies'!D10)</f>
        <v>Database</v>
      </c>
      <c r="S37" s="73" t="str">
        <f>IF(ISBLANK('[1]Nickel Qualified Studies'!E10),"",'[1]Nickel Qualified Studies'!E10)</f>
        <v>7,0261 kg_CO2e/kg_NiSO4 anhydrous</v>
      </c>
      <c r="T37" s="74" t="str">
        <f>IF(ISBLANK('[1]Nickel Qualified Studies'!F10),"",'[1]Nickel Qualified Studies'!F10)</f>
        <v>7,0261  kg_CO2e/kg_NiSO4_anh</v>
      </c>
      <c r="U37" s="73" t="str">
        <f>IF(ISBLANK('[1]Nickel Qualified Studies'!G10),"",'[1]Nickel Qualified Studies'!G10)</f>
        <v/>
      </c>
      <c r="V37" s="73" t="str">
        <f>IF(ISBLANK('[1]Nickel Qualified Studies'!H10),"",'[1]Nickel Qualified Studies'!H10)</f>
        <v>1 kg Nickel sulfate anhydrous</v>
      </c>
      <c r="W37" s="73" t="str">
        <f>IF(ISBLANK('[1]Nickel Qualified Studies'!I10),"",'[1]Nickel Qualified Studies'!I10)</f>
        <v/>
      </c>
      <c r="X37" s="73" t="str">
        <f>IF(ISBLANK('[1]Nickel Qualified Studies'!J10),"",'[1]Nickel Qualified Studies'!J10)</f>
        <v/>
      </c>
      <c r="Y37" s="73" t="str">
        <f>IF(ISBLANK('[1]Nickel Qualified Studies'!K10),"",'[1]Nickel Qualified Studies'!K10)</f>
        <v>Nickel sulfate</v>
      </c>
      <c r="Z37" s="73" t="str">
        <f>IF(ISBLANK('[1]Nickel Qualified Studies'!L10),"",'[1]Nickel Qualified Studies'!L10)</f>
        <v/>
      </c>
      <c r="AA37" s="73" t="str">
        <f>IF(ISBLANK('[1]Nickel Qualified Studies'!M10),"",'[1]Nickel Qualified Studies'!M10)</f>
        <v/>
      </c>
      <c r="AB37" s="73" t="str">
        <f>IF(ISBLANK('[1]Nickel Qualified Studies'!N10),"",'[1]Nickel Qualified Studies'!N10)</f>
        <v/>
      </c>
      <c r="AC37" s="77" t="b">
        <v>0</v>
      </c>
      <c r="AD37" s="80" t="s">
        <v>111</v>
      </c>
    </row>
    <row r="38" spans="2:59" x14ac:dyDescent="0.3">
      <c r="N38" s="1" t="str">
        <f>IF(O38="GREET 2022 [Lat-Lim (no metal intermediate)]","","ERROR - check row order of Notion export")</f>
        <v/>
      </c>
      <c r="O38" s="73" t="str">
        <f>IF(ISBLANK('[1]Nickel Qualified Studies'!A11),"",'[1]Nickel Qualified Studies'!A11)</f>
        <v>GREET 2022 [Lat-Lim (no metal intermediate)]</v>
      </c>
      <c r="P38" s="73" t="str">
        <f>IF(ISBLANK('[1]Nickel Qualified Studies'!B11),"",'[1]Nickel Qualified Studies'!B11)</f>
        <v>GREET 2022 .net</v>
      </c>
      <c r="Q38" s="73" t="str">
        <f>IF(ISBLANK('[1]Nickel Qualified Studies'!C11),"",'[1]Nickel Qualified Studies'!C11)</f>
        <v>https://greet.anl.gov/</v>
      </c>
      <c r="R38" s="73" t="str">
        <f>IF(ISBLANK('[1]Nickel Qualified Studies'!D11),"",'[1]Nickel Qualified Studies'!D11)</f>
        <v>Database</v>
      </c>
      <c r="S38" s="73" t="str">
        <f>IF(ISBLANK('[1]Nickel Qualified Studies'!E11),"",'[1]Nickel Qualified Studies'!E11)</f>
        <v>10,3016 kg_CO2e/kg_NiSO4 anhydrous</v>
      </c>
      <c r="T38" s="74" t="str">
        <f>IF(ISBLANK('[1]Nickel Qualified Studies'!F11),"",'[1]Nickel Qualified Studies'!F11)</f>
        <v>10,3016  kg_CO2e/kg_NiSO4_anh</v>
      </c>
      <c r="U38" s="73" t="str">
        <f>IF(ISBLANK('[1]Nickel Qualified Studies'!G11),"",'[1]Nickel Qualified Studies'!G11)</f>
        <v/>
      </c>
      <c r="V38" s="73" t="str">
        <f>IF(ISBLANK('[1]Nickel Qualified Studies'!H11),"",'[1]Nickel Qualified Studies'!H11)</f>
        <v>1 kg Nickel sulfate anhydrous</v>
      </c>
      <c r="W38" s="73" t="str">
        <f>IF(ISBLANK('[1]Nickel Qualified Studies'!I11),"",'[1]Nickel Qualified Studies'!I11)</f>
        <v/>
      </c>
      <c r="X38" s="73" t="str">
        <f>IF(ISBLANK('[1]Nickel Qualified Studies'!J11),"",'[1]Nickel Qualified Studies'!J11)</f>
        <v/>
      </c>
      <c r="Y38" s="73" t="str">
        <f>IF(ISBLANK('[1]Nickel Qualified Studies'!K11),"",'[1]Nickel Qualified Studies'!K11)</f>
        <v>Nickel sulfate</v>
      </c>
      <c r="Z38" s="73" t="str">
        <f>IF(ISBLANK('[1]Nickel Qualified Studies'!L11),"",'[1]Nickel Qualified Studies'!L11)</f>
        <v/>
      </c>
      <c r="AA38" s="73" t="str">
        <f>IF(ISBLANK('[1]Nickel Qualified Studies'!M11),"",'[1]Nickel Qualified Studies'!M11)</f>
        <v/>
      </c>
      <c r="AB38" s="73" t="str">
        <f>IF(ISBLANK('[1]Nickel Qualified Studies'!N11),"",'[1]Nickel Qualified Studies'!N11)</f>
        <v/>
      </c>
      <c r="AC38" s="77" t="b">
        <v>0</v>
      </c>
      <c r="AD38" s="80" t="s">
        <v>111</v>
      </c>
    </row>
    <row r="39" spans="2:59" x14ac:dyDescent="0.3">
      <c r="N39" s="1" t="str">
        <f>IF(O39="GREET 2022 [Sulph]","","ERROR - check row order of Notion export")</f>
        <v/>
      </c>
      <c r="O39" s="73" t="str">
        <f>IF(ISBLANK('[1]Nickel Qualified Studies'!A12),"",'[1]Nickel Qualified Studies'!A12)</f>
        <v>GREET 2022 [Sulph]</v>
      </c>
      <c r="P39" s="73" t="str">
        <f>IF(ISBLANK('[1]Nickel Qualified Studies'!B12),"",'[1]Nickel Qualified Studies'!B12)</f>
        <v>GREET 2022 .net</v>
      </c>
      <c r="Q39" s="73" t="str">
        <f>IF(ISBLANK('[1]Nickel Qualified Studies'!C12),"",'[1]Nickel Qualified Studies'!C12)</f>
        <v>https://greet.anl.gov/</v>
      </c>
      <c r="R39" s="73" t="str">
        <f>IF(ISBLANK('[1]Nickel Qualified Studies'!D12),"",'[1]Nickel Qualified Studies'!D12)</f>
        <v>Database</v>
      </c>
      <c r="S39" s="73" t="str">
        <f>IF(ISBLANK('[1]Nickel Qualified Studies'!E12),"",'[1]Nickel Qualified Studies'!E12)</f>
        <v>3,4697 kg_CO2e/kg_NiSO4 anhydrous</v>
      </c>
      <c r="T39" s="74" t="str">
        <f>IF(ISBLANK('[1]Nickel Qualified Studies'!F12),"",'[1]Nickel Qualified Studies'!F12)</f>
        <v>3,4697  kg_CO2e/kg_NiSO4_anh</v>
      </c>
      <c r="U39" s="73" t="str">
        <f>IF(ISBLANK('[1]Nickel Qualified Studies'!G12),"",'[1]Nickel Qualified Studies'!G12)</f>
        <v/>
      </c>
      <c r="V39" s="73" t="str">
        <f>IF(ISBLANK('[1]Nickel Qualified Studies'!H12),"",'[1]Nickel Qualified Studies'!H12)</f>
        <v>1 kg Nickel sulfate anhydrous</v>
      </c>
      <c r="W39" s="73" t="str">
        <f>IF(ISBLANK('[1]Nickel Qualified Studies'!I12),"",'[1]Nickel Qualified Studies'!I12)</f>
        <v/>
      </c>
      <c r="X39" s="73" t="str">
        <f>IF(ISBLANK('[1]Nickel Qualified Studies'!J12),"",'[1]Nickel Qualified Studies'!J12)</f>
        <v/>
      </c>
      <c r="Y39" s="73" t="str">
        <f>IF(ISBLANK('[1]Nickel Qualified Studies'!K12),"",'[1]Nickel Qualified Studies'!K12)</f>
        <v>Nickel sulfate</v>
      </c>
      <c r="Z39" s="73" t="str">
        <f>IF(ISBLANK('[1]Nickel Qualified Studies'!L12),"",'[1]Nickel Qualified Studies'!L12)</f>
        <v/>
      </c>
      <c r="AA39" s="73" t="str">
        <f>IF(ISBLANK('[1]Nickel Qualified Studies'!M12),"",'[1]Nickel Qualified Studies'!M12)</f>
        <v/>
      </c>
      <c r="AB39" s="73" t="str">
        <f>IF(ISBLANK('[1]Nickel Qualified Studies'!N12),"",'[1]Nickel Qualified Studies'!N12)</f>
        <v/>
      </c>
      <c r="AC39" s="77" t="b">
        <v>0</v>
      </c>
      <c r="AD39" s="80" t="s">
        <v>111</v>
      </c>
    </row>
    <row r="40" spans="2:59" x14ac:dyDescent="0.3">
      <c r="N40" s="1" t="str">
        <f>IF(O40="GREET 2022 [Lat-Lim]","","ERROR - check row order of Notion export")</f>
        <v/>
      </c>
      <c r="O40" s="73" t="str">
        <f>IF(ISBLANK('[1]Nickel Qualified Studies'!A13),"",'[1]Nickel Qualified Studies'!A13)</f>
        <v>GREET 2022 [Lat-Lim]</v>
      </c>
      <c r="P40" s="73" t="str">
        <f>IF(ISBLANK('[1]Nickel Qualified Studies'!B13),"",'[1]Nickel Qualified Studies'!B13)</f>
        <v>GREET 2022 .net</v>
      </c>
      <c r="Q40" s="73" t="str">
        <f>IF(ISBLANK('[1]Nickel Qualified Studies'!C13),"",'[1]Nickel Qualified Studies'!C13)</f>
        <v>https://greet.anl.gov/</v>
      </c>
      <c r="R40" s="73" t="str">
        <f>IF(ISBLANK('[1]Nickel Qualified Studies'!D13),"",'[1]Nickel Qualified Studies'!D13)</f>
        <v>Database</v>
      </c>
      <c r="S40" s="73" t="str">
        <f>IF(ISBLANK('[1]Nickel Qualified Studies'!E13),"",'[1]Nickel Qualified Studies'!E13)</f>
        <v>15,2099 kg_CO2e/kg_NiSO4 anhydrous</v>
      </c>
      <c r="T40" s="74" t="str">
        <f>IF(ISBLANK('[1]Nickel Qualified Studies'!F13),"",'[1]Nickel Qualified Studies'!F13)</f>
        <v>15,2099  kg_CO2e/kg_NiSO4_anh</v>
      </c>
      <c r="U40" s="73" t="str">
        <f>IF(ISBLANK('[1]Nickel Qualified Studies'!G13),"",'[1]Nickel Qualified Studies'!G13)</f>
        <v/>
      </c>
      <c r="V40" s="73" t="str">
        <f>IF(ISBLANK('[1]Nickel Qualified Studies'!H13),"",'[1]Nickel Qualified Studies'!H13)</f>
        <v>1 kg Nickel sulfate anhydrous</v>
      </c>
      <c r="W40" s="73" t="str">
        <f>IF(ISBLANK('[1]Nickel Qualified Studies'!I13),"",'[1]Nickel Qualified Studies'!I13)</f>
        <v/>
      </c>
      <c r="X40" s="73" t="str">
        <f>IF(ISBLANK('[1]Nickel Qualified Studies'!J13),"",'[1]Nickel Qualified Studies'!J13)</f>
        <v/>
      </c>
      <c r="Y40" s="73" t="str">
        <f>IF(ISBLANK('[1]Nickel Qualified Studies'!K13),"",'[1]Nickel Qualified Studies'!K13)</f>
        <v>Nickel sulfate</v>
      </c>
      <c r="Z40" s="73" t="str">
        <f>IF(ISBLANK('[1]Nickel Qualified Studies'!L13),"",'[1]Nickel Qualified Studies'!L13)</f>
        <v/>
      </c>
      <c r="AA40" s="73" t="str">
        <f>IF(ISBLANK('[1]Nickel Qualified Studies'!M13),"",'[1]Nickel Qualified Studies'!M13)</f>
        <v/>
      </c>
      <c r="AB40" s="73" t="str">
        <f>IF(ISBLANK('[1]Nickel Qualified Studies'!N13),"",'[1]Nickel Qualified Studies'!N13)</f>
        <v/>
      </c>
      <c r="AC40" s="77" t="b">
        <v>0</v>
      </c>
      <c r="AD40" s="80" t="s">
        <v>111</v>
      </c>
    </row>
    <row r="41" spans="2:59" x14ac:dyDescent="0.3">
      <c r="N41" s="1" t="str">
        <f>IF(O41="EI 3.9.1","","ERROR - check row order of Notion export")</f>
        <v/>
      </c>
      <c r="O41" s="73" t="str">
        <f>IF(ISBLANK('[1]Nickel Qualified Studies'!A14),"",'[1]Nickel Qualified Studies'!A14)</f>
        <v>EI 3.9.1</v>
      </c>
      <c r="P41" s="73" t="str">
        <f>IF(ISBLANK('[1]Nickel Qualified Studies'!B14),"",'[1]Nickel Qualified Studies'!B14)</f>
        <v>nickel sulfate production</v>
      </c>
      <c r="Q41" s="73" t="str">
        <f>IF(ISBLANK('[1]Nickel Qualified Studies'!C14),"",'[1]Nickel Qualified Studies'!C14)</f>
        <v>https://ecoquery.ecoinvent.org/3.9.1/cutoff/dataset/113/documentation</v>
      </c>
      <c r="R41" s="73" t="str">
        <f>IF(ISBLANK('[1]Nickel Qualified Studies'!D14),"",'[1]Nickel Qualified Studies'!D14)</f>
        <v>Database</v>
      </c>
      <c r="S41" s="73" t="str">
        <f>IF(ISBLANK('[1]Nickel Qualified Studies'!E14),"",'[1]Nickel Qualified Studies'!E14)</f>
        <v>7,5907 kg_CO2e/kg_NiSO4</v>
      </c>
      <c r="T41" s="74" t="str">
        <f>IF(ISBLANK('[1]Nickel Qualified Studies'!F14),"",'[1]Nickel Qualified Studies'!F14)</f>
        <v>7,5907  kg_CO2e/kg_NiSO4_anh</v>
      </c>
      <c r="U41" s="73" t="str">
        <f>IF(ISBLANK('[1]Nickel Qualified Studies'!G14),"",'[1]Nickel Qualified Studies'!G14)</f>
        <v/>
      </c>
      <c r="V41" s="73" t="str">
        <f>IF(ISBLANK('[1]Nickel Qualified Studies'!H14),"",'[1]Nickel Qualified Studies'!H14)</f>
        <v>1 kg Nickel sulfate anhydrous</v>
      </c>
      <c r="W41" s="73" t="str">
        <f>IF(ISBLANK('[1]Nickel Qualified Studies'!I14),"",'[1]Nickel Qualified Studies'!I14)</f>
        <v/>
      </c>
      <c r="X41" s="73" t="str">
        <f>IF(ISBLANK('[1]Nickel Qualified Studies'!J14),"",'[1]Nickel Qualified Studies'!J14)</f>
        <v/>
      </c>
      <c r="Y41" s="73" t="str">
        <f>IF(ISBLANK('[1]Nickel Qualified Studies'!K14),"",'[1]Nickel Qualified Studies'!K14)</f>
        <v>Nickel sulfate</v>
      </c>
      <c r="Z41" s="73" t="str">
        <f>IF(ISBLANK('[1]Nickel Qualified Studies'!L14),"",'[1]Nickel Qualified Studies'!L14)</f>
        <v/>
      </c>
      <c r="AA41" s="73" t="str">
        <f>IF(ISBLANK('[1]Nickel Qualified Studies'!M14),"",'[1]Nickel Qualified Studies'!M14)</f>
        <v>Global</v>
      </c>
      <c r="AB41" s="73" t="str">
        <f>IF(ISBLANK('[1]Nickel Qualified Studies'!N14),"",'[1]Nickel Qualified Studies'!N14)</f>
        <v>Gendorf</v>
      </c>
      <c r="AC41" s="77" t="b">
        <v>0</v>
      </c>
      <c r="AD41" s="80" t="s">
        <v>111</v>
      </c>
    </row>
    <row r="42" spans="2:59" ht="28.8" x14ac:dyDescent="0.3">
      <c r="N42" s="1" t="str">
        <f>IF(O42="EI 3.9.1 [Sulph, CN]","","ERROR - check row order of Notion export")</f>
        <v/>
      </c>
      <c r="O42" s="73" t="str">
        <f>IF(ISBLANK('[1]Nickel Qualified Studies'!A15),"",'[1]Nickel Qualified Studies'!A15)</f>
        <v>EI 3.9.1 [Sulph, CN]</v>
      </c>
      <c r="P42" s="73" t="str">
        <f>IF(ISBLANK('[1]Nickel Qualified Studies'!B15),"",'[1]Nickel Qualified Studies'!B15)</f>
        <v>nickel, class 1 smelting and refining of nickel concentrate, 7% Ni</v>
      </c>
      <c r="Q42" s="73" t="str">
        <f>IF(ISBLANK('[1]Nickel Qualified Studies'!C15),"",'[1]Nickel Qualified Studies'!C15)</f>
        <v>https://ecoquery.ecoinvent.org/3.9.1/cutoff/dataset/23679/documentation</v>
      </c>
      <c r="R42" s="73" t="str">
        <f>IF(ISBLANK('[1]Nickel Qualified Studies'!D15),"",'[1]Nickel Qualified Studies'!D15)</f>
        <v>Database</v>
      </c>
      <c r="S42" s="73" t="str">
        <f>IF(ISBLANK('[1]Nickel Qualified Studies'!E15),"",'[1]Nickel Qualified Studies'!E15)</f>
        <v>33,925 kg_CO2e/kg_Ni_metal</v>
      </c>
      <c r="T42" s="74" t="str">
        <f>IF(ISBLANK('[1]Nickel Qualified Studies'!F15),"",'[1]Nickel Qualified Studies'!F15)</f>
        <v>14.1370501155 kg_CO2e/kg_NiSO4_anh</v>
      </c>
      <c r="U42" s="73" t="str">
        <f>IF(ISBLANK('[1]Nickel Qualified Studies'!G15),"",'[1]Nickel Qualified Studies'!G15)</f>
        <v/>
      </c>
      <c r="V42" s="73" t="str">
        <f>IF(ISBLANK('[1]Nickel Qualified Studies'!H15),"",'[1]Nickel Qualified Studies'!H15)</f>
        <v>1 kg Nickel metal</v>
      </c>
      <c r="W42" s="73" t="str">
        <f>IF(ISBLANK('[1]Nickel Qualified Studies'!I15),"",'[1]Nickel Qualified Studies'!I15)</f>
        <v/>
      </c>
      <c r="X42" s="73" t="str">
        <f>IF(ISBLANK('[1]Nickel Qualified Studies'!J15),"",'[1]Nickel Qualified Studies'!J15)</f>
        <v/>
      </c>
      <c r="Y42" s="73" t="str">
        <f>IF(ISBLANK('[1]Nickel Qualified Studies'!K15),"",'[1]Nickel Qualified Studies'!K15)</f>
        <v>Nickel class I</v>
      </c>
      <c r="Z42" s="73" t="str">
        <f>IF(ISBLANK('[1]Nickel Qualified Studies'!L15),"",'[1]Nickel Qualified Studies'!L15)</f>
        <v/>
      </c>
      <c r="AA42" s="73" t="str">
        <f>IF(ISBLANK('[1]Nickel Qualified Studies'!M15),"",'[1]Nickel Qualified Studies'!M15)</f>
        <v>China</v>
      </c>
      <c r="AB42" s="73" t="str">
        <f>IF(ISBLANK('[1]Nickel Qualified Studies'!N15),"",'[1]Nickel Qualified Studies'!N15)</f>
        <v/>
      </c>
      <c r="AC42" s="77" t="b">
        <v>0</v>
      </c>
      <c r="AD42" s="80" t="s">
        <v>111</v>
      </c>
    </row>
    <row r="43" spans="2:59" ht="28.8" x14ac:dyDescent="0.3">
      <c r="N43" s="1" t="str">
        <f>IF(O43="EI 3.9.1 [from cobalt production, GLO]","","ERROR - check row order of Notion export")</f>
        <v/>
      </c>
      <c r="O43" s="73" t="str">
        <f>IF(ISBLANK('[1]Nickel Qualified Studies'!A16),"",'[1]Nickel Qualified Studies'!A16)</f>
        <v>EI 3.9.1 [from cobalt production, GLO]</v>
      </c>
      <c r="P43" s="73" t="str">
        <f>IF(ISBLANK('[1]Nickel Qualified Studies'!B16),"",'[1]Nickel Qualified Studies'!B16)</f>
        <v>nickel, class 1 cobalt production</v>
      </c>
      <c r="Q43" s="73" t="str">
        <f>IF(ISBLANK('[1]Nickel Qualified Studies'!C16),"",'[1]Nickel Qualified Studies'!C16)</f>
        <v>https://ecoquery.ecoinvent.org/3.9.1/cutoff/dataset/23006/impact_assessment</v>
      </c>
      <c r="R43" s="73" t="str">
        <f>IF(ISBLANK('[1]Nickel Qualified Studies'!D16),"",'[1]Nickel Qualified Studies'!D16)</f>
        <v>Database</v>
      </c>
      <c r="S43" s="73" t="str">
        <f>IF(ISBLANK('[1]Nickel Qualified Studies'!E16),"",'[1]Nickel Qualified Studies'!E16)</f>
        <v>18,814 kg_CO2e/kg_Ni_metal</v>
      </c>
      <c r="T43" s="74" t="str">
        <f>IF(ISBLANK('[1]Nickel Qualified Studies'!F16),"",'[1]Nickel Qualified Studies'!F16)</f>
        <v>8.10412329336 kg_CO2e/kg_NiSO4_anh</v>
      </c>
      <c r="U43" s="73" t="str">
        <f>IF(ISBLANK('[1]Nickel Qualified Studies'!G16),"",'[1]Nickel Qualified Studies'!G16)</f>
        <v/>
      </c>
      <c r="V43" s="73" t="str">
        <f>IF(ISBLANK('[1]Nickel Qualified Studies'!H16),"",'[1]Nickel Qualified Studies'!H16)</f>
        <v>1 kg Nickel metal</v>
      </c>
      <c r="W43" s="73" t="str">
        <f>IF(ISBLANK('[1]Nickel Qualified Studies'!I16),"",'[1]Nickel Qualified Studies'!I16)</f>
        <v/>
      </c>
      <c r="X43" s="73" t="str">
        <f>IF(ISBLANK('[1]Nickel Qualified Studies'!J16),"",'[1]Nickel Qualified Studies'!J16)</f>
        <v/>
      </c>
      <c r="Y43" s="73" t="str">
        <f>IF(ISBLANK('[1]Nickel Qualified Studies'!K16),"",'[1]Nickel Qualified Studies'!K16)</f>
        <v>Nickel class I</v>
      </c>
      <c r="Z43" s="73" t="str">
        <f>IF(ISBLANK('[1]Nickel Qualified Studies'!L16),"",'[1]Nickel Qualified Studies'!L16)</f>
        <v/>
      </c>
      <c r="AA43" s="73" t="str">
        <f>IF(ISBLANK('[1]Nickel Qualified Studies'!M16),"",'[1]Nickel Qualified Studies'!M16)</f>
        <v>Global</v>
      </c>
      <c r="AB43" s="73" t="str">
        <f>IF(ISBLANK('[1]Nickel Qualified Studies'!N16),"",'[1]Nickel Qualified Studies'!N16)</f>
        <v/>
      </c>
      <c r="AC43" s="77" t="b">
        <v>0</v>
      </c>
      <c r="AD43" s="80" t="s">
        <v>111</v>
      </c>
    </row>
    <row r="44" spans="2:59" ht="28.8" x14ac:dyDescent="0.3">
      <c r="N44" s="1" t="str">
        <f>IF(O44="EI 3.9.1 [Sulph, GLO]","","ERROR - check row order of Notion export")</f>
        <v/>
      </c>
      <c r="O44" s="73" t="str">
        <f>IF(ISBLANK('[1]Nickel Qualified Studies'!A17),"",'[1]Nickel Qualified Studies'!A17)</f>
        <v>EI 3.9.1 [Sulph, GLO]</v>
      </c>
      <c r="P44" s="73" t="str">
        <f>IF(ISBLANK('[1]Nickel Qualified Studies'!B17),"",'[1]Nickel Qualified Studies'!B17)</f>
        <v>nickel, class 1 processing of nickelrich materials</v>
      </c>
      <c r="Q44" s="73" t="str">
        <f>IF(ISBLANK('[1]Nickel Qualified Studies'!C17),"",'[1]Nickel Qualified Studies'!C17)</f>
        <v>https://ecoquery.ecoinvent.org/3.9.1/cutoff/dataset/22681/impact_assessment</v>
      </c>
      <c r="R44" s="73" t="str">
        <f>IF(ISBLANK('[1]Nickel Qualified Studies'!D17),"",'[1]Nickel Qualified Studies'!D17)</f>
        <v>Database</v>
      </c>
      <c r="S44" s="73" t="str">
        <f>IF(ISBLANK('[1]Nickel Qualified Studies'!E17),"",'[1]Nickel Qualified Studies'!E17)</f>
        <v>5,627 kg_CO2e/kg_Ni_metal</v>
      </c>
      <c r="T44" s="74" t="str">
        <f>IF(ISBLANK('[1]Nickel Qualified Studies'!F17),"",'[1]Nickel Qualified Studies'!F17)</f>
        <v>2.83933565498 kg_CO2e/kg_NiSO4_anh</v>
      </c>
      <c r="U44" s="73" t="str">
        <f>IF(ISBLANK('[1]Nickel Qualified Studies'!G17),"",'[1]Nickel Qualified Studies'!G17)</f>
        <v/>
      </c>
      <c r="V44" s="73" t="str">
        <f>IF(ISBLANK('[1]Nickel Qualified Studies'!H17),"",'[1]Nickel Qualified Studies'!H17)</f>
        <v>1 kg Nickel metal</v>
      </c>
      <c r="W44" s="73" t="str">
        <f>IF(ISBLANK('[1]Nickel Qualified Studies'!I17),"",'[1]Nickel Qualified Studies'!I17)</f>
        <v/>
      </c>
      <c r="X44" s="73" t="str">
        <f>IF(ISBLANK('[1]Nickel Qualified Studies'!J17),"",'[1]Nickel Qualified Studies'!J17)</f>
        <v/>
      </c>
      <c r="Y44" s="73" t="str">
        <f>IF(ISBLANK('[1]Nickel Qualified Studies'!K17),"",'[1]Nickel Qualified Studies'!K17)</f>
        <v>Nickel class I</v>
      </c>
      <c r="Z44" s="73" t="str">
        <f>IF(ISBLANK('[1]Nickel Qualified Studies'!L17),"",'[1]Nickel Qualified Studies'!L17)</f>
        <v/>
      </c>
      <c r="AA44" s="73" t="str">
        <f>IF(ISBLANK('[1]Nickel Qualified Studies'!M17),"",'[1]Nickel Qualified Studies'!M17)</f>
        <v>Global</v>
      </c>
      <c r="AB44" s="73" t="str">
        <f>IF(ISBLANK('[1]Nickel Qualified Studies'!N17),"",'[1]Nickel Qualified Studies'!N17)</f>
        <v/>
      </c>
      <c r="AC44" s="77" t="b">
        <v>0</v>
      </c>
      <c r="AD44" s="80" t="s">
        <v>111</v>
      </c>
    </row>
    <row r="45" spans="2:59" ht="28.8" x14ac:dyDescent="0.3">
      <c r="N45" s="1" t="str">
        <f>IF(O45="EI 3.9.1 [Sulph, GLO]","","ERROR - check row order of Notion export")</f>
        <v/>
      </c>
      <c r="O45" s="73" t="str">
        <f>IF(ISBLANK('[1]Nickel Qualified Studies'!A18),"",'[1]Nickel Qualified Studies'!A18)</f>
        <v>EI 3.9.1 [Sulph, GLO]</v>
      </c>
      <c r="P45" s="73" t="str">
        <f>IF(ISBLANK('[1]Nickel Qualified Studies'!B18),"",'[1]Nickel Qualified Studies'!B18)</f>
        <v>nickel, class 1 smelting and refining of nickel concentrate, 16% Ni</v>
      </c>
      <c r="Q45" s="73" t="str">
        <f>IF(ISBLANK('[1]Nickel Qualified Studies'!C18),"",'[1]Nickel Qualified Studies'!C18)</f>
        <v>https://ecoquery.ecoinvent.org/3.9.1/cutoff/dataset/13353/impact_assessment</v>
      </c>
      <c r="R45" s="73" t="str">
        <f>IF(ISBLANK('[1]Nickel Qualified Studies'!D18),"",'[1]Nickel Qualified Studies'!D18)</f>
        <v>Database</v>
      </c>
      <c r="S45" s="73" t="str">
        <f>IF(ISBLANK('[1]Nickel Qualified Studies'!E18),"",'[1]Nickel Qualified Studies'!E18)</f>
        <v>10,495 kg_CO2e/kg_Ni_metal</v>
      </c>
      <c r="T45" s="74" t="str">
        <f>IF(ISBLANK('[1]Nickel Qualified Studies'!F18),"",'[1]Nickel Qualified Studies'!F18)</f>
        <v>4.7828395773 kg_CO2e/kg_NiSO4_anh</v>
      </c>
      <c r="U45" s="73" t="str">
        <f>IF(ISBLANK('[1]Nickel Qualified Studies'!G18),"",'[1]Nickel Qualified Studies'!G18)</f>
        <v/>
      </c>
      <c r="V45" s="73" t="str">
        <f>IF(ISBLANK('[1]Nickel Qualified Studies'!H18),"",'[1]Nickel Qualified Studies'!H18)</f>
        <v>1 kg Nickel metal</v>
      </c>
      <c r="W45" s="73" t="str">
        <f>IF(ISBLANK('[1]Nickel Qualified Studies'!I18),"",'[1]Nickel Qualified Studies'!I18)</f>
        <v/>
      </c>
      <c r="X45" s="73" t="str">
        <f>IF(ISBLANK('[1]Nickel Qualified Studies'!J18),"",'[1]Nickel Qualified Studies'!J18)</f>
        <v/>
      </c>
      <c r="Y45" s="73" t="str">
        <f>IF(ISBLANK('[1]Nickel Qualified Studies'!K18),"",'[1]Nickel Qualified Studies'!K18)</f>
        <v>Nickel class I</v>
      </c>
      <c r="Z45" s="73" t="str">
        <f>IF(ISBLANK('[1]Nickel Qualified Studies'!L18),"",'[1]Nickel Qualified Studies'!L18)</f>
        <v/>
      </c>
      <c r="AA45" s="73" t="str">
        <f>IF(ISBLANK('[1]Nickel Qualified Studies'!M18),"",'[1]Nickel Qualified Studies'!M18)</f>
        <v>Global</v>
      </c>
      <c r="AB45" s="73" t="str">
        <f>IF(ISBLANK('[1]Nickel Qualified Studies'!N18),"",'[1]Nickel Qualified Studies'!N18)</f>
        <v/>
      </c>
      <c r="AC45" s="77" t="b">
        <v>0</v>
      </c>
      <c r="AD45" s="80" t="s">
        <v>111</v>
      </c>
    </row>
    <row r="46" spans="2:59" ht="28.8" x14ac:dyDescent="0.3">
      <c r="N46" s="1" t="str">
        <f>IF(O46="EI 3.9.1 [Sulph, RU]","","ERROR - check row order of Notion export")</f>
        <v/>
      </c>
      <c r="O46" s="73" t="str">
        <f>IF(ISBLANK('[1]Nickel Qualified Studies'!A19),"",'[1]Nickel Qualified Studies'!A19)</f>
        <v>EI 3.9.1 [Sulph, RU]</v>
      </c>
      <c r="P46" s="73" t="str">
        <f>IF(ISBLANK('[1]Nickel Qualified Studies'!B19),"",'[1]Nickel Qualified Studies'!B19)</f>
        <v>nickel, class 1 platinum group metal mine operation, ore with high palladium content</v>
      </c>
      <c r="Q46" s="73" t="str">
        <f>IF(ISBLANK('[1]Nickel Qualified Studies'!C19),"",'[1]Nickel Qualified Studies'!C19)</f>
        <v>https://ecoquery.ecoinvent.org/3.9.1/cutoff/dataset/5172/impact_assessment</v>
      </c>
      <c r="R46" s="73" t="str">
        <f>IF(ISBLANK('[1]Nickel Qualified Studies'!D19),"",'[1]Nickel Qualified Studies'!D19)</f>
        <v>Database</v>
      </c>
      <c r="S46" s="73" t="str">
        <f>IF(ISBLANK('[1]Nickel Qualified Studies'!E19),"",'[1]Nickel Qualified Studies'!E19)</f>
        <v>8,5474 kg_CO2e/kg_Ni_metal</v>
      </c>
      <c r="T46" s="74" t="str">
        <f>IF(ISBLANK('[1]Nickel Qualified Studies'!F19),"",'[1]Nickel Qualified Studies'!F19)</f>
        <v>4.005278312076 kg_CO2e/kg_NiSO4_anh</v>
      </c>
      <c r="U46" s="73" t="str">
        <f>IF(ISBLANK('[1]Nickel Qualified Studies'!G19),"",'[1]Nickel Qualified Studies'!G19)</f>
        <v/>
      </c>
      <c r="V46" s="73" t="str">
        <f>IF(ISBLANK('[1]Nickel Qualified Studies'!H19),"",'[1]Nickel Qualified Studies'!H19)</f>
        <v>1 kg Nickel metal</v>
      </c>
      <c r="W46" s="73" t="str">
        <f>IF(ISBLANK('[1]Nickel Qualified Studies'!I19),"",'[1]Nickel Qualified Studies'!I19)</f>
        <v/>
      </c>
      <c r="X46" s="73" t="str">
        <f>IF(ISBLANK('[1]Nickel Qualified Studies'!J19),"",'[1]Nickel Qualified Studies'!J19)</f>
        <v/>
      </c>
      <c r="Y46" s="73" t="str">
        <f>IF(ISBLANK('[1]Nickel Qualified Studies'!K19),"",'[1]Nickel Qualified Studies'!K19)</f>
        <v>Nickel class I</v>
      </c>
      <c r="Z46" s="73" t="str">
        <f>IF(ISBLANK('[1]Nickel Qualified Studies'!L19),"",'[1]Nickel Qualified Studies'!L19)</f>
        <v/>
      </c>
      <c r="AA46" s="73" t="str">
        <f>IF(ISBLANK('[1]Nickel Qualified Studies'!M19),"",'[1]Nickel Qualified Studies'!M19)</f>
        <v>Russia</v>
      </c>
      <c r="AB46" s="73" t="str">
        <f>IF(ISBLANK('[1]Nickel Qualified Studies'!N19),"",'[1]Nickel Qualified Studies'!N19)</f>
        <v/>
      </c>
      <c r="AC46" s="77" t="b">
        <v>0</v>
      </c>
      <c r="AD46" s="80" t="s">
        <v>111</v>
      </c>
    </row>
    <row r="47" spans="2:59" ht="129.6" x14ac:dyDescent="0.3">
      <c r="N47" s="1" t="str">
        <f>IF(O47="T&amp;E Briefing","","ERROR - check row order of Notion export")</f>
        <v/>
      </c>
      <c r="O47" s="73" t="str">
        <f>IF(ISBLANK('[1]Nickel Qualified Studies'!A20),"",'[1]Nickel Qualified Studies'!A20)</f>
        <v>T&amp;E Briefing</v>
      </c>
      <c r="P47" s="73" t="str">
        <f>IF(ISBLANK('[1]Nickel Qualified Studies'!B20),"",'[1]Nickel Qualified Studies'!B20)</f>
        <v>Paving the way to cleaner nickel - Nickel in batteries and how to secure it sustainably</v>
      </c>
      <c r="Q47" s="73" t="str">
        <f>IF(ISBLANK('[1]Nickel Qualified Studies'!C20),"",'[1]Nickel Qualified Studies'!C20)</f>
        <v>https://www.transportenvironment.org/discover/paving-the-way-to-cleaner-nickel/</v>
      </c>
      <c r="R47" s="73" t="str">
        <f>IF(ISBLANK('[1]Nickel Qualified Studies'!D20),"",'[1]Nickel Qualified Studies'!D20)</f>
        <v>Report</v>
      </c>
      <c r="S47" s="73" t="str">
        <f>IF(ISBLANK('[1]Nickel Qualified Studies'!E20),"",'[1]Nickel Qualified Studies'!E20)</f>
        <v>Laterite-Limonite (NC: HPAL): 28.97 [kg_CO2e/kg_Ni_in_NiSO₄·6H₂O]
Laterite-Limonite (ID: HPAL): 33.3 [kg_CO2e/kg_Ni_in_NiSO₄·6H₂O]
Laterite-Saperolite (ID: RKEF): 97.9 [kg_CO2e/kg_Ni_in_NiSO₄·6H₂O]</v>
      </c>
      <c r="T47" s="74" t="str">
        <f>IF(ISBLANK('[1]Nickel Qualified Studies'!F20),"",'[1]Nickel Qualified Studies'!F20)</f>
        <v>Laterite-Limonite (NC: HPAL): 10.9871622 [kg_CO2e/kg_NiSO4_anh]
Laterite-Limonite (ID: HPAL): 12.629358 [kg_CO2e/kg_NiSO4_anh]
Laterite-Saperolite (ID: RKEF): 37.129554 [kg_CO2e/kg_NiSO4_anh]</v>
      </c>
      <c r="U47" s="73" t="str">
        <f>IF(ISBLANK('[1]Nickel Qualified Studies'!G20),"",'[1]Nickel Qualified Studies'!G20)</f>
        <v>no</v>
      </c>
      <c r="V47" s="73" t="str">
        <f>IF(ISBLANK('[1]Nickel Qualified Studies'!H20),"",'[1]Nickel Qualified Studies'!H20)</f>
        <v>1 kg Ni in Nickel sulfate heptahydrate</v>
      </c>
      <c r="W47" s="73" t="str">
        <f>IF(ISBLANK('[1]Nickel Qualified Studies'!I20),"",'[1]Nickel Qualified Studies'!I20)</f>
        <v>unclear</v>
      </c>
      <c r="X47" s="73" t="str">
        <f>IF(ISBLANK('[1]Nickel Qualified Studies'!J20),"",'[1]Nickel Qualified Studies'!J20)</f>
        <v>-- intransparent</v>
      </c>
      <c r="Y47" s="73" t="str">
        <f>IF(ISBLANK('[1]Nickel Qualified Studies'!K20),"",'[1]Nickel Qualified Studies'!K20)</f>
        <v>Nickel sulfate</v>
      </c>
      <c r="Z47" s="73" t="str">
        <f>IF(ISBLANK('[1]Nickel Qualified Studies'!L20),"",'[1]Nickel Qualified Studies'!L20)</f>
        <v>google search</v>
      </c>
      <c r="AA47" s="73" t="str">
        <f>IF(ISBLANK('[1]Nickel Qualified Studies'!M20),"",'[1]Nickel Qualified Studies'!M20)</f>
        <v>Canada, China, Indonesia, New Caledonia, Russia</v>
      </c>
      <c r="AB47" s="73" t="str">
        <f>IF(ISBLANK('[1]Nickel Qualified Studies'!N20),"",'[1]Nickel Qualified Studies'!N20)</f>
        <v>Not specified</v>
      </c>
      <c r="AC47" s="77" t="b">
        <v>0</v>
      </c>
      <c r="AD47" s="80" t="s">
        <v>677</v>
      </c>
      <c r="BG47" s="53"/>
    </row>
    <row r="48" spans="2:59" ht="86.4" x14ac:dyDescent="0.3">
      <c r="N48" s="1" t="str">
        <f>IF(O48="VDA Report","","ERROR - check row order of Notion export")</f>
        <v/>
      </c>
      <c r="O48" s="73" t="str">
        <f>IF(ISBLANK('[1]Nickel Qualified Studies'!A21),"",'[1]Nickel Qualified Studies'!A21)</f>
        <v>VDA Report</v>
      </c>
      <c r="P48" s="73" t="str">
        <f>IF(ISBLANK('[1]Nickel Qualified Studies'!B21),"",'[1]Nickel Qualified Studies'!B21)</f>
        <v>PRODUCT CARBON FOOTPRINT OF NICKEL
SULFATE HEXAHYDRATE PRODUCTION</v>
      </c>
      <c r="Q48" s="73" t="str">
        <f>IF(ISBLANK('[1]Nickel Qualified Studies'!C21),"",'[1]Nickel Qualified Studies'!C21)</f>
        <v>https://26877240.fs1.hubspotusercontent-eu1.net/hubfs/26877240/Client%20Projects/VDA_Nickel_Sulfate_Hexahydrate_LCA_Report_2023.pdf</v>
      </c>
      <c r="R48" s="73" t="str">
        <f>IF(ISBLANK('[1]Nickel Qualified Studies'!D21),"",'[1]Nickel Qualified Studies'!D21)</f>
        <v>Report</v>
      </c>
      <c r="S48" s="73" t="str">
        <f>IF(ISBLANK('[1]Nickel Qualified Studies'!E21),"",'[1]Nickel Qualified Studies'!E21)</f>
        <v>Laterite-Limonite (ID: HPAL): 33.3 [kg_CO2e/kg_Ni_in_NiSO₄·6H₂O]
Laterite-Saperolite (ID: RKEF): 97.9 [kg_CO2e/kg_Ni_in_NiSO₄·6H₂O]</v>
      </c>
      <c r="T48" s="74" t="str">
        <f>IF(ISBLANK('[1]Nickel Qualified Studies'!F21),"",'[1]Nickel Qualified Studies'!F21)</f>
        <v>Laterite-Limonite (ID: HPAL): 12.629358 [kg_CO2e/kg_NiSO4_anh]_x000D_
Laterite-Saperolite (ID: RKEF): 37.129554 [kg_CO2e/kg_NiSO4_anh]</v>
      </c>
      <c r="U48" s="73" t="str">
        <f>IF(ISBLANK('[1]Nickel Qualified Studies'!G21),"",'[1]Nickel Qualified Studies'!G21)</f>
        <v>no</v>
      </c>
      <c r="V48" s="73" t="str">
        <f>IF(ISBLANK('[1]Nickel Qualified Studies'!H21),"",'[1]Nickel Qualified Studies'!H21)</f>
        <v>1 kg Ni in Nickel sulfate heptahydrate</v>
      </c>
      <c r="W48" s="73" t="str">
        <f>IF(ISBLANK('[1]Nickel Qualified Studies'!I21),"",'[1]Nickel Qualified Studies'!I21)</f>
        <v>see screenshot</v>
      </c>
      <c r="X48" s="73" t="str">
        <f>IF(ISBLANK('[1]Nickel Qualified Studies'!J21),"",'[1]Nickel Qualified Studies'!J21)</f>
        <v>- intransparent</v>
      </c>
      <c r="Y48" s="73" t="str">
        <f>IF(ISBLANK('[1]Nickel Qualified Studies'!K21),"",'[1]Nickel Qualified Studies'!K21)</f>
        <v>Nickel sulfate</v>
      </c>
      <c r="Z48" s="73" t="str">
        <f>IF(ISBLANK('[1]Nickel Qualified Studies'!L21),"",'[1]Nickel Qualified Studies'!L21)</f>
        <v>google search</v>
      </c>
      <c r="AA48" s="73" t="str">
        <f>IF(ISBLANK('[1]Nickel Qualified Studies'!M21),"",'[1]Nickel Qualified Studies'!M21)</f>
        <v>China, Indonesia</v>
      </c>
      <c r="AB48" s="73" t="str">
        <f>IF(ISBLANK('[1]Nickel Qualified Studies'!N21),"",'[1]Nickel Qualified Studies'!N21)</f>
        <v>Not specified</v>
      </c>
      <c r="AC48" s="77" t="b">
        <v>0</v>
      </c>
      <c r="AD48" s="80" t="s">
        <v>677</v>
      </c>
    </row>
    <row r="49" spans="14:71" x14ac:dyDescent="0.3">
      <c r="N49" s="1" t="str">
        <f>IF(O49="","","ERROR - check row order of Notion export")</f>
        <v/>
      </c>
      <c r="O49" s="73" t="str">
        <f>IF(ISBLANK('[1]Nickel Qualified Studies'!A22),"",'[1]Nickel Qualified Studies'!A22)</f>
        <v/>
      </c>
      <c r="P49" s="73" t="str">
        <f>IF(ISBLANK('[1]Nickel Qualified Studies'!B22),"",'[1]Nickel Qualified Studies'!B22)</f>
        <v/>
      </c>
      <c r="Q49" s="73" t="str">
        <f>IF(ISBLANK('[1]Nickel Qualified Studies'!C22),"",'[1]Nickel Qualified Studies'!C22)</f>
        <v/>
      </c>
      <c r="R49" s="73" t="str">
        <f>IF(ISBLANK('[1]Nickel Qualified Studies'!D22),"",'[1]Nickel Qualified Studies'!D22)</f>
        <v/>
      </c>
      <c r="S49" s="73" t="str">
        <f>IF(ISBLANK('[1]Nickel Qualified Studies'!E22),"",'[1]Nickel Qualified Studies'!E22)</f>
        <v/>
      </c>
      <c r="T49" s="74" t="str">
        <f>IF(ISBLANK('[1]Nickel Qualified Studies'!F22),"",'[1]Nickel Qualified Studies'!F22)</f>
        <v/>
      </c>
      <c r="U49" s="73" t="str">
        <f>IF(ISBLANK('[1]Nickel Qualified Studies'!G22),"",'[1]Nickel Qualified Studies'!G22)</f>
        <v/>
      </c>
      <c r="V49" s="73" t="str">
        <f>IF(ISBLANK('[1]Nickel Qualified Studies'!H22),"",'[1]Nickel Qualified Studies'!H22)</f>
        <v/>
      </c>
      <c r="W49" s="73" t="str">
        <f>IF(ISBLANK('[1]Nickel Qualified Studies'!I22),"",'[1]Nickel Qualified Studies'!I22)</f>
        <v/>
      </c>
      <c r="X49" s="73" t="str">
        <f>IF(ISBLANK('[1]Nickel Qualified Studies'!J22),"",'[1]Nickel Qualified Studies'!J22)</f>
        <v/>
      </c>
      <c r="Y49" s="73" t="str">
        <f>IF(ISBLANK('[1]Nickel Qualified Studies'!K22),"",'[1]Nickel Qualified Studies'!K22)</f>
        <v/>
      </c>
      <c r="Z49" s="73" t="str">
        <f>IF(ISBLANK('[1]Nickel Qualified Studies'!L22),"",'[1]Nickel Qualified Studies'!L22)</f>
        <v/>
      </c>
      <c r="AA49" s="73" t="str">
        <f>IF(ISBLANK('[1]Nickel Qualified Studies'!M22),"",'[1]Nickel Qualified Studies'!M22)</f>
        <v/>
      </c>
      <c r="AB49" s="73" t="str">
        <f>IF(ISBLANK('[1]Nickel Qualified Studies'!N22),"",'[1]Nickel Qualified Studies'!N22)</f>
        <v/>
      </c>
      <c r="AC49" s="80"/>
      <c r="AD49" s="80"/>
    </row>
    <row r="50" spans="14:71" x14ac:dyDescent="0.3">
      <c r="N50" s="1" t="str">
        <f>IF(O50="","","ERROR - check row order of Notion export")</f>
        <v/>
      </c>
      <c r="O50" s="73" t="str">
        <f>IF(ISBLANK('[1]Nickel Qualified Studies'!A23),"",'[1]Nickel Qualified Studies'!A23)</f>
        <v/>
      </c>
      <c r="P50" s="73" t="str">
        <f>IF(ISBLANK('[1]Nickel Qualified Studies'!B23),"",'[1]Nickel Qualified Studies'!B23)</f>
        <v/>
      </c>
      <c r="Q50" s="73" t="str">
        <f>IF(ISBLANK('[1]Nickel Qualified Studies'!C23),"",'[1]Nickel Qualified Studies'!C23)</f>
        <v/>
      </c>
      <c r="R50" s="73" t="str">
        <f>IF(ISBLANK('[1]Nickel Qualified Studies'!D23),"",'[1]Nickel Qualified Studies'!D23)</f>
        <v/>
      </c>
      <c r="S50" s="73" t="str">
        <f>IF(ISBLANK('[1]Nickel Qualified Studies'!E23),"",'[1]Nickel Qualified Studies'!E23)</f>
        <v/>
      </c>
      <c r="T50" s="74" t="str">
        <f>IF(ISBLANK('[1]Nickel Qualified Studies'!F23),"",'[1]Nickel Qualified Studies'!F23)</f>
        <v/>
      </c>
      <c r="U50" s="73" t="str">
        <f>IF(ISBLANK('[1]Nickel Qualified Studies'!G23),"",'[1]Nickel Qualified Studies'!G23)</f>
        <v/>
      </c>
      <c r="V50" s="73" t="str">
        <f>IF(ISBLANK('[1]Nickel Qualified Studies'!H23),"",'[1]Nickel Qualified Studies'!H23)</f>
        <v/>
      </c>
      <c r="W50" s="73" t="str">
        <f>IF(ISBLANK('[1]Nickel Qualified Studies'!I23),"",'[1]Nickel Qualified Studies'!I23)</f>
        <v/>
      </c>
      <c r="X50" s="73" t="str">
        <f>IF(ISBLANK('[1]Nickel Qualified Studies'!J23),"",'[1]Nickel Qualified Studies'!J23)</f>
        <v/>
      </c>
      <c r="Y50" s="73" t="str">
        <f>IF(ISBLANK('[1]Nickel Qualified Studies'!K23),"",'[1]Nickel Qualified Studies'!K23)</f>
        <v/>
      </c>
      <c r="Z50" s="73" t="str">
        <f>IF(ISBLANK('[1]Nickel Qualified Studies'!L23),"",'[1]Nickel Qualified Studies'!L23)</f>
        <v/>
      </c>
      <c r="AA50" s="73" t="str">
        <f>IF(ISBLANK('[1]Nickel Qualified Studies'!M23),"",'[1]Nickel Qualified Studies'!M23)</f>
        <v/>
      </c>
      <c r="AB50" s="73" t="str">
        <f>IF(ISBLANK('[1]Nickel Qualified Studies'!N23),"",'[1]Nickel Qualified Studies'!N23)</f>
        <v/>
      </c>
      <c r="AC50" s="80"/>
      <c r="AD50" s="80"/>
    </row>
    <row r="51" spans="14:71" x14ac:dyDescent="0.3">
      <c r="O51" s="1"/>
      <c r="P51" s="1"/>
      <c r="Q51" s="1"/>
      <c r="R51" s="1"/>
      <c r="S51" s="1"/>
      <c r="T51" s="1"/>
      <c r="U51" s="1"/>
      <c r="V51" s="1"/>
      <c r="W51" s="1"/>
      <c r="X51" s="1"/>
      <c r="Y51" s="1"/>
      <c r="Z51" s="1"/>
      <c r="AA51" s="1"/>
      <c r="AB51" s="1"/>
      <c r="AC51" s="1"/>
      <c r="AD51" s="1"/>
    </row>
    <row r="58" spans="14:71" x14ac:dyDescent="0.3">
      <c r="BG58" s="53"/>
    </row>
    <row r="59" spans="14:71" x14ac:dyDescent="0.3">
      <c r="BG59" s="53"/>
    </row>
    <row r="60" spans="14:71" x14ac:dyDescent="0.3">
      <c r="BG60" s="53"/>
    </row>
    <row r="61" spans="14:71" x14ac:dyDescent="0.3">
      <c r="BG61" s="53"/>
    </row>
    <row r="63" spans="14:71" x14ac:dyDescent="0.3">
      <c r="BS63" s="53"/>
    </row>
  </sheetData>
  <mergeCells count="27">
    <mergeCell ref="I30:K30"/>
    <mergeCell ref="H15:K15"/>
    <mergeCell ref="H19:K19"/>
    <mergeCell ref="H13:K13"/>
    <mergeCell ref="H12:K12"/>
    <mergeCell ref="I20:K20"/>
    <mergeCell ref="I21:K21"/>
    <mergeCell ref="I22:K22"/>
    <mergeCell ref="I23:K23"/>
    <mergeCell ref="I24:K24"/>
    <mergeCell ref="I25:K25"/>
    <mergeCell ref="I26:K26"/>
    <mergeCell ref="I27:K27"/>
    <mergeCell ref="I28:K28"/>
    <mergeCell ref="I29:K29"/>
    <mergeCell ref="A1:F1"/>
    <mergeCell ref="O2:R2"/>
    <mergeCell ref="T2:W2"/>
    <mergeCell ref="Y2:AB2"/>
    <mergeCell ref="AD2:AG2"/>
    <mergeCell ref="O27:AB27"/>
    <mergeCell ref="AC27:AD27"/>
    <mergeCell ref="H1:M1"/>
    <mergeCell ref="AI2:AL2"/>
    <mergeCell ref="AX2:BA2"/>
    <mergeCell ref="AN2:AQ2"/>
    <mergeCell ref="AS2:AV2"/>
  </mergeCells>
  <conditionalFormatting sqref="N1:N1048576">
    <cfRule type="containsText" dxfId="11" priority="2" operator="containsText" text="ERROR">
      <formula>NOT(ISERROR(SEARCH("ERROR",N1)))</formula>
    </cfRule>
  </conditionalFormatting>
  <conditionalFormatting sqref="O51:AD51">
    <cfRule type="containsText" dxfId="10" priority="1" operator="containsText" text="ERROR">
      <formula>NOT(ISERROR(SEARCH("ERROR",O51)))</formula>
    </cfRule>
  </conditionalFormatting>
  <pageMargins left="0.7" right="0.7" top="0.78740157499999996" bottom="0.78740157499999996"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2C884-61F9-4ABD-994F-4B377F236482}">
  <dimension ref="A1:Z51"/>
  <sheetViews>
    <sheetView tabSelected="1" zoomScale="67" zoomScaleNormal="40" workbookViewId="0">
      <selection sqref="A1:F1"/>
    </sheetView>
  </sheetViews>
  <sheetFormatPr defaultColWidth="10.6640625" defaultRowHeight="14.4" x14ac:dyDescent="0.3"/>
  <cols>
    <col min="1" max="1" width="30.21875" style="45" customWidth="1"/>
    <col min="2" max="2" width="18.109375" style="45" customWidth="1"/>
    <col min="3" max="3" width="16.88671875" style="45" customWidth="1"/>
    <col min="4" max="4" width="16.21875" style="45" customWidth="1"/>
    <col min="5" max="5" width="29.109375" style="6" customWidth="1"/>
    <col min="6" max="6" width="28.5546875" style="6" customWidth="1"/>
    <col min="7" max="7" width="9.109375" style="1" customWidth="1"/>
    <col min="8" max="8" width="29.44140625" style="6" customWidth="1"/>
    <col min="9" max="12" width="10.6640625" style="6"/>
    <col min="13" max="13" width="33.5546875" style="6" customWidth="1"/>
    <col min="14" max="21" width="10.6640625" style="6"/>
    <col min="22" max="22" width="13" style="6" customWidth="1"/>
    <col min="23" max="23" width="20.44140625" style="6" customWidth="1"/>
    <col min="24" max="16384" width="10.6640625" style="6"/>
  </cols>
  <sheetData>
    <row r="1" spans="1:10" x14ac:dyDescent="0.3">
      <c r="A1" s="85" t="s">
        <v>107</v>
      </c>
      <c r="B1" s="85"/>
      <c r="C1" s="85"/>
      <c r="D1" s="85"/>
      <c r="E1" s="85"/>
      <c r="F1" s="85"/>
    </row>
    <row r="2" spans="1:10" ht="19.05" customHeight="1" x14ac:dyDescent="0.3">
      <c r="A2" s="2" t="s">
        <v>33</v>
      </c>
      <c r="B2" s="2" t="s">
        <v>22</v>
      </c>
      <c r="C2" s="2" t="s">
        <v>6</v>
      </c>
      <c r="D2" s="2" t="s">
        <v>31</v>
      </c>
      <c r="E2" s="2" t="s">
        <v>10</v>
      </c>
      <c r="F2" s="2" t="s">
        <v>140</v>
      </c>
      <c r="G2" s="1" t="s">
        <v>35</v>
      </c>
    </row>
    <row r="3" spans="1:10" x14ac:dyDescent="0.3">
      <c r="A3" s="14" t="s">
        <v>675</v>
      </c>
      <c r="B3" s="18">
        <v>0</v>
      </c>
      <c r="C3" s="18">
        <v>0</v>
      </c>
      <c r="D3" s="18">
        <v>0</v>
      </c>
      <c r="E3" s="18">
        <v>10.301600000000001</v>
      </c>
      <c r="F3" s="18">
        <f>SUM(B3:E3)</f>
        <v>10.301600000000001</v>
      </c>
      <c r="G3" s="1" t="s">
        <v>35</v>
      </c>
    </row>
    <row r="4" spans="1:10" x14ac:dyDescent="0.3">
      <c r="A4" s="14" t="s">
        <v>675</v>
      </c>
      <c r="B4" s="18">
        <v>0</v>
      </c>
      <c r="C4" s="18">
        <v>0</v>
      </c>
      <c r="D4" s="18">
        <v>0</v>
      </c>
      <c r="E4" s="18">
        <v>15.209899999999999</v>
      </c>
      <c r="F4" s="18">
        <f>SUM(B4:E4)</f>
        <v>15.209899999999999</v>
      </c>
      <c r="G4" s="1" t="s">
        <v>35</v>
      </c>
    </row>
    <row r="5" spans="1:10" ht="28.8" x14ac:dyDescent="0.3">
      <c r="A5" s="14" t="s">
        <v>679</v>
      </c>
      <c r="B5" s="18">
        <v>0</v>
      </c>
      <c r="C5" s="18">
        <v>0</v>
      </c>
      <c r="D5" s="18">
        <v>0</v>
      </c>
      <c r="E5" s="18">
        <v>10.9871622</v>
      </c>
      <c r="F5" s="18">
        <f>SUM(B5:E5)</f>
        <v>10.9871622</v>
      </c>
      <c r="G5" s="1" t="s">
        <v>35</v>
      </c>
    </row>
    <row r="6" spans="1:10" ht="28.8" x14ac:dyDescent="0.3">
      <c r="A6" s="14" t="s">
        <v>680</v>
      </c>
      <c r="B6" s="18">
        <v>0</v>
      </c>
      <c r="C6" s="18">
        <v>0</v>
      </c>
      <c r="D6" s="18">
        <v>0</v>
      </c>
      <c r="E6" s="18">
        <v>12.629358</v>
      </c>
      <c r="F6" s="18">
        <f>SUM(B6:E6)</f>
        <v>12.629358</v>
      </c>
      <c r="G6" s="1" t="s">
        <v>35</v>
      </c>
      <c r="J6" s="1"/>
    </row>
    <row r="7" spans="1:10" ht="28.8" x14ac:dyDescent="0.3">
      <c r="A7" s="14" t="s">
        <v>678</v>
      </c>
      <c r="B7" s="18">
        <v>0</v>
      </c>
      <c r="C7" s="18">
        <v>0</v>
      </c>
      <c r="D7" s="18">
        <v>0</v>
      </c>
      <c r="E7" s="18">
        <v>12.629358</v>
      </c>
      <c r="F7" s="18">
        <f>SUM(B7:E7)</f>
        <v>12.629358</v>
      </c>
      <c r="G7" s="1" t="s">
        <v>35</v>
      </c>
    </row>
    <row r="8" spans="1:10" x14ac:dyDescent="0.3">
      <c r="A8" s="14"/>
      <c r="B8" s="18"/>
      <c r="C8" s="18"/>
      <c r="D8" s="18"/>
      <c r="E8" s="18"/>
      <c r="F8" s="18"/>
      <c r="G8" s="1" t="s">
        <v>35</v>
      </c>
    </row>
    <row r="9" spans="1:10" x14ac:dyDescent="0.3">
      <c r="A9" s="14"/>
      <c r="B9" s="18"/>
      <c r="C9" s="18"/>
      <c r="D9" s="18"/>
      <c r="E9" s="18"/>
      <c r="F9" s="18"/>
      <c r="G9" s="1" t="s">
        <v>35</v>
      </c>
    </row>
    <row r="10" spans="1:10" x14ac:dyDescent="0.3">
      <c r="A10" s="28"/>
      <c r="B10" s="50"/>
      <c r="C10" s="50"/>
      <c r="D10" s="50"/>
      <c r="E10" s="50"/>
      <c r="F10" s="50"/>
      <c r="G10" s="1" t="s">
        <v>35</v>
      </c>
    </row>
    <row r="11" spans="1:10" x14ac:dyDescent="0.3">
      <c r="A11" s="28"/>
      <c r="B11" s="28"/>
      <c r="C11" s="28"/>
      <c r="D11" s="28"/>
      <c r="E11" s="14"/>
      <c r="F11" s="14"/>
      <c r="G11" s="1" t="s">
        <v>35</v>
      </c>
    </row>
    <row r="12" spans="1:10" x14ac:dyDescent="0.3">
      <c r="A12" s="28"/>
      <c r="B12" s="28"/>
      <c r="C12" s="28"/>
      <c r="D12" s="28"/>
      <c r="E12" s="14"/>
      <c r="F12" s="14"/>
      <c r="G12" s="1" t="s">
        <v>35</v>
      </c>
    </row>
    <row r="13" spans="1:10" x14ac:dyDescent="0.3">
      <c r="A13" s="28"/>
      <c r="B13" s="28"/>
      <c r="C13" s="28"/>
      <c r="D13" s="28"/>
      <c r="E13" s="14"/>
      <c r="F13" s="14"/>
      <c r="G13" s="1" t="s">
        <v>35</v>
      </c>
    </row>
    <row r="14" spans="1:10" x14ac:dyDescent="0.3">
      <c r="A14" s="28"/>
      <c r="B14" s="28"/>
      <c r="C14" s="28"/>
      <c r="D14" s="28"/>
      <c r="E14" s="14"/>
      <c r="F14" s="14"/>
      <c r="G14" s="1" t="s">
        <v>35</v>
      </c>
    </row>
    <row r="15" spans="1:10" x14ac:dyDescent="0.3">
      <c r="A15" s="28"/>
      <c r="B15" s="28"/>
      <c r="C15" s="28"/>
      <c r="D15" s="28"/>
      <c r="E15" s="14"/>
      <c r="F15" s="14"/>
      <c r="G15" s="1" t="s">
        <v>35</v>
      </c>
    </row>
    <row r="16" spans="1:10" x14ac:dyDescent="0.3">
      <c r="A16" s="28"/>
      <c r="B16" s="28"/>
      <c r="C16" s="28"/>
      <c r="D16" s="28"/>
      <c r="E16" s="14"/>
      <c r="F16" s="14"/>
      <c r="G16" s="1" t="s">
        <v>35</v>
      </c>
    </row>
    <row r="17" spans="1:26" x14ac:dyDescent="0.3">
      <c r="A17" s="28"/>
      <c r="B17" s="28"/>
      <c r="C17" s="28"/>
      <c r="D17" s="28"/>
      <c r="E17" s="14"/>
      <c r="F17" s="14"/>
      <c r="G17" s="1" t="s">
        <v>35</v>
      </c>
    </row>
    <row r="18" spans="1:26" x14ac:dyDescent="0.3">
      <c r="A18" s="28"/>
      <c r="B18" s="28"/>
      <c r="C18" s="28"/>
      <c r="D18" s="28"/>
      <c r="E18" s="14"/>
      <c r="F18" s="14"/>
      <c r="G18" s="1" t="s">
        <v>35</v>
      </c>
    </row>
    <row r="19" spans="1:26" x14ac:dyDescent="0.3">
      <c r="A19" s="28"/>
      <c r="B19" s="28"/>
      <c r="C19" s="28"/>
      <c r="D19" s="28"/>
      <c r="E19" s="14"/>
      <c r="F19" s="14"/>
    </row>
    <row r="20" spans="1:26" x14ac:dyDescent="0.3">
      <c r="A20" s="28"/>
      <c r="B20" s="28"/>
      <c r="C20" s="28"/>
      <c r="D20" s="28"/>
      <c r="E20" s="14"/>
      <c r="F20" s="14"/>
    </row>
    <row r="21" spans="1:26" x14ac:dyDescent="0.3">
      <c r="A21" s="28"/>
      <c r="B21" s="28"/>
      <c r="C21" s="28"/>
      <c r="D21" s="28"/>
      <c r="E21" s="14"/>
      <c r="F21" s="14"/>
    </row>
    <row r="22" spans="1:26" x14ac:dyDescent="0.3">
      <c r="A22" s="28"/>
      <c r="B22" s="28"/>
      <c r="C22" s="28"/>
      <c r="D22" s="28"/>
      <c r="E22" s="14"/>
      <c r="F22" s="14"/>
    </row>
    <row r="23" spans="1:26" x14ac:dyDescent="0.3">
      <c r="A23" s="28"/>
      <c r="B23" s="28"/>
      <c r="C23" s="28"/>
      <c r="D23" s="28"/>
      <c r="E23" s="14"/>
      <c r="F23" s="14"/>
    </row>
    <row r="24" spans="1:26" ht="15" customHeight="1" x14ac:dyDescent="0.3">
      <c r="A24" s="28"/>
      <c r="B24" s="28"/>
      <c r="C24" s="28"/>
      <c r="D24" s="28"/>
      <c r="E24" s="14"/>
      <c r="F24" s="14"/>
    </row>
    <row r="25" spans="1:26" ht="15" customHeight="1" x14ac:dyDescent="0.3">
      <c r="A25" s="28"/>
      <c r="B25" s="28"/>
      <c r="C25" s="28"/>
      <c r="D25" s="28"/>
      <c r="E25" s="14"/>
      <c r="F25" s="14"/>
    </row>
    <row r="26" spans="1:26" ht="15" customHeight="1" x14ac:dyDescent="0.3"/>
    <row r="27" spans="1:26" x14ac:dyDescent="0.3">
      <c r="E27" s="45"/>
      <c r="F27" s="45"/>
      <c r="H27" s="86" t="s">
        <v>151</v>
      </c>
      <c r="I27" s="86"/>
      <c r="J27" s="86"/>
      <c r="K27" s="86"/>
      <c r="L27" s="86"/>
      <c r="M27" s="86"/>
      <c r="N27" s="86"/>
      <c r="O27" s="86"/>
      <c r="P27" s="86"/>
      <c r="Q27" s="86"/>
      <c r="R27" s="86"/>
      <c r="S27" s="86"/>
      <c r="T27" s="86"/>
      <c r="U27" s="86"/>
      <c r="V27" s="87" t="s">
        <v>152</v>
      </c>
      <c r="W27" s="87"/>
      <c r="X27" s="35"/>
      <c r="Y27" s="35"/>
      <c r="Z27" s="35"/>
    </row>
    <row r="28" spans="1:26" ht="28.8" x14ac:dyDescent="0.3">
      <c r="E28" s="45"/>
      <c r="F28" s="45"/>
      <c r="H28" s="73" t="str">
        <f>IF(ISBLANK('[1]Nickel Qualified Studies'!A1),"",'[1]Nickel Qualified Studies'!A1)</f>
        <v>Source</v>
      </c>
      <c r="I28" s="73" t="str">
        <f>IF(ISBLANK('[1]Nickel Qualified Studies'!B1),"",'[1]Nickel Qualified Studies'!B1)</f>
        <v>Title</v>
      </c>
      <c r="J28" s="73" t="str">
        <f>IF(ISBLANK('[1]Nickel Qualified Studies'!C1),"",'[1]Nickel Qualified Studies'!C1)</f>
        <v>Link</v>
      </c>
      <c r="K28" s="73" t="str">
        <f>IF(ISBLANK('[1]Nickel Qualified Studies'!D1),"",'[1]Nickel Qualified Studies'!D1)</f>
        <v>Source type</v>
      </c>
      <c r="L28" s="73" t="str">
        <f>IF(ISBLANK('[1]Nickel Qualified Studies'!E1),"",'[1]Nickel Qualified Studies'!E1)</f>
        <v>Total emissions [kgCO2eq/kg]</v>
      </c>
      <c r="M28" s="74" t="str">
        <f>IF(ISBLANK('[1]Nickel Qualified Studies'!F1),"",'[1]Nickel Qualified Studies'!F1)</f>
        <v>Harmonised emissions [kg_CO2eq/kg_NiSO4_anhydrous]</v>
      </c>
      <c r="N28" s="73" t="str">
        <f>IF(ISBLANK('[1]Nickel Qualified Studies'!G1),"",'[1]Nickel Qualified Studies'!G1)</f>
        <v>Primary data?</v>
      </c>
      <c r="O28" s="73" t="str">
        <f>IF(ISBLANK('[1]Nickel Qualified Studies'!H1),"",'[1]Nickel Qualified Studies'!H1)</f>
        <v>Functional unit?</v>
      </c>
      <c r="P28" s="73" t="str">
        <f>IF(ISBLANK('[1]Nickel Qualified Studies'!I1),"",'[1]Nickel Qualified Studies'!I1)</f>
        <v>System boundaries</v>
      </c>
      <c r="Q28" s="73" t="str">
        <f>IF(ISBLANK('[1]Nickel Qualified Studies'!J1),"",'[1]Nickel Qualified Studies'!J1)</f>
        <v>Methodological transparency</v>
      </c>
      <c r="R28" s="73" t="str">
        <f>IF(ISBLANK('[1]Nickel Qualified Studies'!K1),"",'[1]Nickel Qualified Studies'!K1)</f>
        <v>Process / ore type?</v>
      </c>
      <c r="S28" s="73" t="str">
        <f>IF(ISBLANK('[1]Nickel Qualified Studies'!L1),"",'[1]Nickel Qualified Studies'!L1)</f>
        <v>Found via</v>
      </c>
      <c r="T28" s="73" t="str">
        <f>IF(ISBLANK('[1]Nickel Qualified Studies'!M1),"",'[1]Nickel Qualified Studies'!M1)</f>
        <v>Location of production</v>
      </c>
      <c r="U28" s="73" t="str">
        <f>IF(ISBLANK('[1]Nickel Qualified Studies'!N1),"",'[1]Nickel Qualified Studies'!N1)</f>
        <v>Mine</v>
      </c>
      <c r="V28" s="75" t="s">
        <v>110</v>
      </c>
      <c r="W28" s="76" t="s">
        <v>143</v>
      </c>
    </row>
    <row r="29" spans="1:26" ht="28.8" x14ac:dyDescent="0.3">
      <c r="B29" s="1"/>
      <c r="C29" s="1"/>
      <c r="D29" s="1"/>
      <c r="E29" s="1"/>
      <c r="F29" s="1"/>
      <c r="G29" s="1" t="str">
        <f>IF(H29="Nickel Institute (2021)","","ERROR - check row order of Notion export")</f>
        <v/>
      </c>
      <c r="H29" s="73" t="str">
        <f>IF(ISBLANK('[1]Nickel Qualified Studies'!A2),"",'[1]Nickel Qualified Studies'!A2)</f>
        <v>Nickel Institute (2021)</v>
      </c>
      <c r="I29" s="73" t="str">
        <f>IF(ISBLANK('[1]Nickel Qualified Studies'!B2),"",'[1]Nickel Qualified Studies'!B2)</f>
        <v>Nickel sulphate life cycle data</v>
      </c>
      <c r="J29" s="73" t="str">
        <f>IF(ISBLANK('[1]Nickel Qualified Studies'!C2),"",'[1]Nickel Qualified Studies'!C2)</f>
        <v>https://nickelinstitute.org/en/policy/nickel-life-cycle-management/nickel-life-cycle-data/</v>
      </c>
      <c r="K29" s="73" t="str">
        <f>IF(ISBLANK('[1]Nickel Qualified Studies'!D2),"",'[1]Nickel Qualified Studies'!D2)</f>
        <v>Report</v>
      </c>
      <c r="L29" s="73" t="str">
        <f>IF(ISBLANK('[1]Nickel Qualified Studies'!E2),"",'[1]Nickel Qualified Studies'!E2)</f>
        <v>4 kg CO2eq/ kg NiSO4.6(H2O) (22% of Ni content)</v>
      </c>
      <c r="M29" s="74" t="str">
        <f>IF(ISBLANK('[1]Nickel Qualified Studies'!F2),"",'[1]Nickel Qualified Studies'!F2)</f>
        <v xml:space="preserve">6.79393 kg_CO2e/kg_NiSO4_anh
</v>
      </c>
      <c r="N29" s="73" t="str">
        <f>IF(ISBLANK('[1]Nickel Qualified Studies'!G2),"",'[1]Nickel Qualified Studies'!G2)</f>
        <v>yes ⇒ data from 24 production sites from nine Nickel Institute member companies https://nickelinstitute.org/policy/nickel-life-cycle-management/nickel-life-cycle-data/</v>
      </c>
      <c r="O29" s="73" t="str">
        <f>IF(ISBLANK('[1]Nickel Qualified Studies'!H2),"",'[1]Nickel Qualified Studies'!H2)</f>
        <v>kg NiSO4.6(H2O)</v>
      </c>
      <c r="P29" s="73" t="str">
        <f>IF(ISBLANK('[1]Nickel Qualified Studies'!I2),"",'[1]Nickel Qualified Studies'!I2)</f>
        <v>probably from ore extraction to nickel sulphate production</v>
      </c>
      <c r="Q29" s="73" t="str">
        <f>IF(ISBLANK('[1]Nickel Qualified Studies'!J2),"",'[1]Nickel Qualified Studies'!J2)</f>
        <v>+ transparent, ++ transparent</v>
      </c>
      <c r="R29" s="73" t="str">
        <f>IF(ISBLANK('[1]Nickel Qualified Studies'!K2),"",'[1]Nickel Qualified Studies'!K2)</f>
        <v>Nickel sulfate</v>
      </c>
      <c r="S29" s="73" t="str">
        <f>IF(ISBLANK('[1]Nickel Qualified Studies'!L2),"",'[1]Nickel Qualified Studies'!L2)</f>
        <v>google search</v>
      </c>
      <c r="T29" s="73" t="str">
        <f>IF(ISBLANK('[1]Nickel Qualified Studies'!M2),"",'[1]Nickel Qualified Studies'!M2)</f>
        <v>Global</v>
      </c>
      <c r="U29" s="73" t="str">
        <f>IF(ISBLANK('[1]Nickel Qualified Studies'!N2),"",'[1]Nickel Qualified Studies'!N2)</f>
        <v/>
      </c>
      <c r="V29" s="77" t="b">
        <v>0</v>
      </c>
      <c r="W29" s="78" t="s">
        <v>684</v>
      </c>
    </row>
    <row r="30" spans="1:26" x14ac:dyDescent="0.3">
      <c r="B30" s="6"/>
      <c r="C30" s="6"/>
      <c r="D30" s="6"/>
      <c r="G30" s="1" t="str">
        <f>IF(H30="Wei et al (2020)","","ERROR - check row order of Notion export")</f>
        <v/>
      </c>
      <c r="H30" s="73" t="str">
        <f>IF(ISBLANK('[1]Nickel Qualified Studies'!A3),"",'[1]Nickel Qualified Studies'!A3)</f>
        <v>Wei et al (2020)</v>
      </c>
      <c r="I30" s="73" t="str">
        <f>IF(ISBLANK('[1]Nickel Qualified Studies'!B3),"",'[1]Nickel Qualified Studies'!B3)</f>
        <v>Energy Consumption and Greenhouse Gas Emissions of Nickel Products</v>
      </c>
      <c r="J30" s="73" t="str">
        <f>IF(ISBLANK('[1]Nickel Qualified Studies'!C3),"",'[1]Nickel Qualified Studies'!C3)</f>
        <v>https://www.mdpi.com/1996-1073/13/21/5664</v>
      </c>
      <c r="K30" s="73" t="str">
        <f>IF(ISBLANK('[1]Nickel Qualified Studies'!D3),"",'[1]Nickel Qualified Studies'!D3)</f>
        <v>Literature</v>
      </c>
      <c r="L30" s="73" t="str">
        <f>IF(ISBLANK('[1]Nickel Qualified Studies'!E3),"",'[1]Nickel Qualified Studies'!E3)</f>
        <v xml:space="preserve">Sulfide ore: 
required production energy: 174 GJ/t alloy (Ni metal = 100%Ni)
associated GHG emissions: 14 tCO2-eq/t alloy (alloy = Ni metal)
</v>
      </c>
      <c r="M30" s="74" t="str">
        <f>IF(ISBLANK('[1]Nickel Qualified Studies'!F3),"",'[1]Nickel Qualified Studies'!F3)</f>
        <v>6.182178371 kg_CO2e/kg_NiSO4_anh</v>
      </c>
      <c r="N30" s="73" t="str">
        <f>IF(ISBLANK('[1]Nickel Qualified Studies'!G3),"",'[1]Nickel Qualified Studies'!G3)</f>
        <v>probably no</v>
      </c>
      <c r="O30" s="73" t="str">
        <f>IF(ISBLANK('[1]Nickel Qualified Studies'!H3),"",'[1]Nickel Qualified Studies'!H3)</f>
        <v>one ton of nickel alloy product
alloy in our case = Ni metal (=100%Ni)</v>
      </c>
      <c r="P30" s="73" t="str">
        <f>IF(ISBLANK('[1]Nickel Qualified Studies'!I3),"",'[1]Nickel Qualified Studies'!I3)</f>
        <v>see Chapter 3.1 ⇒ system boundary includes the mining, pre-processing (beneficiation, drying, calcination, sulfidation, sintering), smelting, post-processing settling, converting, refining, roasting)</v>
      </c>
      <c r="Q30" s="73" t="str">
        <f>IF(ISBLANK('[1]Nickel Qualified Studies'!J3),"",'[1]Nickel Qualified Studies'!J3)</f>
        <v>+ transparent, - intransparent</v>
      </c>
      <c r="R30" s="73" t="str">
        <f>IF(ISBLANK('[1]Nickel Qualified Studies'!K3),"",'[1]Nickel Qualified Studies'!K3)</f>
        <v>Nickel class I</v>
      </c>
      <c r="S30" s="73" t="str">
        <f>IF(ISBLANK('[1]Nickel Qualified Studies'!L3),"",'[1]Nickel Qualified Studies'!L3)</f>
        <v>systematic lit rev</v>
      </c>
      <c r="T30" s="73" t="str">
        <f>IF(ISBLANK('[1]Nickel Qualified Studies'!M3),"",'[1]Nickel Qualified Studies'!M3)</f>
        <v>Australia</v>
      </c>
      <c r="U30" s="73" t="str">
        <f>IF(ISBLANK('[1]Nickel Qualified Studies'!N3),"",'[1]Nickel Qualified Studies'!N3)</f>
        <v/>
      </c>
      <c r="V30" s="77" t="b">
        <v>0</v>
      </c>
      <c r="W30" s="78" t="s">
        <v>684</v>
      </c>
    </row>
    <row r="31" spans="1:26" ht="72" x14ac:dyDescent="0.3">
      <c r="B31" s="6"/>
      <c r="C31" s="6"/>
      <c r="D31" s="6"/>
      <c r="G31" s="1" t="str">
        <f>IF(H31="Norgate &amp; Rankin (2000)","","ERROR - check row order of Notion export")</f>
        <v/>
      </c>
      <c r="H31" s="73" t="str">
        <f>IF(ISBLANK('[1]Nickel Qualified Studies'!A4),"",'[1]Nickel Qualified Studies'!A4)</f>
        <v>Norgate &amp; Rankin (2000)</v>
      </c>
      <c r="I31" s="73" t="str">
        <f>IF(ISBLANK('[1]Nickel Qualified Studies'!B4),"",'[1]Nickel Qualified Studies'!B4)</f>
        <v>Life cycle assessment of copper and nickel production</v>
      </c>
      <c r="J31" s="73" t="str">
        <f>IF(ISBLANK('[1]Nickel Qualified Studies'!C4),"",'[1]Nickel Qualified Studies'!C4)</f>
        <v>https://www.researchgate.net/publication/279666598_Life_cycle_assessment_of_copper_and_nickel_production</v>
      </c>
      <c r="K31" s="73" t="str">
        <f>IF(ISBLANK('[1]Nickel Qualified Studies'!D4),"",'[1]Nickel Qualified Studies'!D4)</f>
        <v>Literature</v>
      </c>
      <c r="L31" s="73" t="str">
        <f>IF(ISBLANK('[1]Nickel Qualified Studies'!E4),"",'[1]Nickel Qualified Studies'!E4)</f>
        <v>sulfide ores (flash furnace smelting and Sheritt-Gordon refining)
- total energy: 114 MJ/kg
- GWP: 11.4 kg CO2eq/kg
laterite ores (pressure acid leaching and solvent extraction (SX)/electrowinning (EW))
- total energy: 194 MJ/kg
- GWP: 16.1 kg CO2eq/kg</v>
      </c>
      <c r="M31" s="74" t="str">
        <f>IF(ISBLANK('[1]Nickel Qualified Studies'!F4),"",'[1]Nickel Qualified Studies'!F4)</f>
        <v>Sulph: 5.144152447 kg_CO2e/kg_NiSO4_anh
Lat: 7.020583925 kg_CO2e/kg_NiSO4_anh</v>
      </c>
      <c r="N31" s="73" t="str">
        <f>IF(ISBLANK('[1]Nickel Qualified Studies'!G4),"",'[1]Nickel Qualified Studies'!G4)</f>
        <v>no</v>
      </c>
      <c r="O31" s="73" t="str">
        <f>IF(ISBLANK('[1]Nickel Qualified Studies'!H4),"",'[1]Nickel Qualified Studies'!H4)</f>
        <v>kg Ni metal</v>
      </c>
      <c r="P31" s="73" t="str">
        <f>IF(ISBLANK('[1]Nickel Qualified Studies'!I4),"",'[1]Nickel Qualified Studies'!I4)</f>
        <v>from cradle to end of refining</v>
      </c>
      <c r="Q31" s="73" t="str">
        <f>IF(ISBLANK('[1]Nickel Qualified Studies'!J4),"",'[1]Nickel Qualified Studies'!J4)</f>
        <v>- intransparent</v>
      </c>
      <c r="R31" s="73" t="str">
        <f>IF(ISBLANK('[1]Nickel Qualified Studies'!K4),"",'[1]Nickel Qualified Studies'!K4)</f>
        <v>Nickel class I</v>
      </c>
      <c r="S31" s="73" t="str">
        <f>IF(ISBLANK('[1]Nickel Qualified Studies'!L4),"",'[1]Nickel Qualified Studies'!L4)</f>
        <v>backward citation</v>
      </c>
      <c r="T31" s="73" t="str">
        <f>IF(ISBLANK('[1]Nickel Qualified Studies'!M4),"",'[1]Nickel Qualified Studies'!M4)</f>
        <v>Unclear</v>
      </c>
      <c r="U31" s="73" t="str">
        <f>IF(ISBLANK('[1]Nickel Qualified Studies'!N4),"",'[1]Nickel Qualified Studies'!N4)</f>
        <v/>
      </c>
      <c r="V31" s="77" t="b">
        <v>0</v>
      </c>
      <c r="W31" s="78" t="s">
        <v>684</v>
      </c>
    </row>
    <row r="32" spans="1:26" x14ac:dyDescent="0.3">
      <c r="B32" s="1"/>
      <c r="C32" s="1"/>
      <c r="D32" s="1"/>
      <c r="E32" s="1"/>
      <c r="F32" s="1"/>
      <c r="G32" s="1" t="str">
        <f>IF(H32="Deng &amp; Gong (2018)","","ERROR - check row order of Notion export")</f>
        <v/>
      </c>
      <c r="H32" s="73" t="str">
        <f>IF(ISBLANK('[1]Nickel Qualified Studies'!A5),"",'[1]Nickel Qualified Studies'!A5)</f>
        <v>Deng &amp; Gong (2018)</v>
      </c>
      <c r="I32" s="73" t="str">
        <f>IF(ISBLANK('[1]Nickel Qualified Studies'!B5),"",'[1]Nickel Qualified Studies'!B5)</f>
        <v>Life Cycle Assessment of Nickel Production in China</v>
      </c>
      <c r="J32" s="73" t="str">
        <f>IF(ISBLANK('[1]Nickel Qualified Studies'!C5),"",'[1]Nickel Qualified Studies'!C5)</f>
        <v>https://www.scientific.net/MSF.913.1004</v>
      </c>
      <c r="K32" s="73" t="str">
        <f>IF(ISBLANK('[1]Nickel Qualified Studies'!D5),"",'[1]Nickel Qualified Studies'!D5)</f>
        <v>Literature</v>
      </c>
      <c r="L32" s="73" t="str">
        <f>IF(ISBLANK('[1]Nickel Qualified Studies'!E5),"",'[1]Nickel Qualified Studies'!E5)</f>
        <v>26.90kg CO2 eq / kg electrolytic nickel</v>
      </c>
      <c r="M32" s="74" t="str">
        <f>IF(ISBLANK('[1]Nickel Qualified Studies'!F5),"",'[1]Nickel Qualified Studies'!F5)</f>
        <v>11.332383917 kg_CO2e/kg_NiSO4_anh</v>
      </c>
      <c r="N32" s="73" t="str">
        <f>IF(ISBLANK('[1]Nickel Qualified Studies'!G5),"",'[1]Nickel Qualified Studies'!G5)</f>
        <v>no 
data from national statstic or process data. emissions calculated based on IPCC.</v>
      </c>
      <c r="O32" s="73" t="str">
        <f>IF(ISBLANK('[1]Nickel Qualified Studies'!H5),"",'[1]Nickel Qualified Studies'!H5)</f>
        <v>1kg electrolytic nickel</v>
      </c>
      <c r="P32" s="73" t="str">
        <f>IF(ISBLANK('[1]Nickel Qualified Studies'!I5),"",'[1]Nickel Qualified Studies'!I5)</f>
        <v>see screenshot</v>
      </c>
      <c r="Q32" s="73" t="str">
        <f>IF(ISBLANK('[1]Nickel Qualified Studies'!J5),"",'[1]Nickel Qualified Studies'!J5)</f>
        <v>- intransparent</v>
      </c>
      <c r="R32" s="73" t="str">
        <f>IF(ISBLANK('[1]Nickel Qualified Studies'!K5),"",'[1]Nickel Qualified Studies'!K5)</f>
        <v>Nickel class I</v>
      </c>
      <c r="S32" s="73" t="str">
        <f>IF(ISBLANK('[1]Nickel Qualified Studies'!L5),"",'[1]Nickel Qualified Studies'!L5)</f>
        <v>backward citation</v>
      </c>
      <c r="T32" s="73" t="str">
        <f>IF(ISBLANK('[1]Nickel Qualified Studies'!M5),"",'[1]Nickel Qualified Studies'!M5)</f>
        <v>China</v>
      </c>
      <c r="U32" s="73" t="str">
        <f>IF(ISBLANK('[1]Nickel Qualified Studies'!N5),"",'[1]Nickel Qualified Studies'!N5)</f>
        <v/>
      </c>
      <c r="V32" s="77" t="b">
        <v>0</v>
      </c>
      <c r="W32" s="78" t="s">
        <v>684</v>
      </c>
    </row>
    <row r="33" spans="2:23" x14ac:dyDescent="0.3">
      <c r="B33" s="1"/>
      <c r="C33" s="1"/>
      <c r="D33" s="1"/>
      <c r="E33" s="1"/>
      <c r="F33" s="1"/>
      <c r="G33" s="1" t="str">
        <f>IF(H33="Mistry et al (2016)","","ERROR - check row order of Notion export")</f>
        <v/>
      </c>
      <c r="H33" s="73" t="str">
        <f>IF(ISBLANK('[1]Nickel Qualified Studies'!A6),"",'[1]Nickel Qualified Studies'!A6)</f>
        <v>Mistry et al (2016)</v>
      </c>
      <c r="I33" s="73" t="str">
        <f>IF(ISBLANK('[1]Nickel Qualified Studies'!B6),"",'[1]Nickel Qualified Studies'!B6)</f>
        <v>Life cycle assessment of nickel products</v>
      </c>
      <c r="J33" s="73" t="str">
        <f>IF(ISBLANK('[1]Nickel Qualified Studies'!C6),"",'[1]Nickel Qualified Studies'!C6)</f>
        <v>https://link.springer.com/article/10.1007/s11367-016-1085-x</v>
      </c>
      <c r="K33" s="73" t="str">
        <f>IF(ISBLANK('[1]Nickel Qualified Studies'!D6),"",'[1]Nickel Qualified Studies'!D6)</f>
        <v>Literature</v>
      </c>
      <c r="L33" s="73" t="str">
        <f>IF(ISBLANK('[1]Nickel Qualified Studies'!E6),"",'[1]Nickel Qualified Studies'!E6)</f>
        <v>7.64 kg CO2e/kg class 1 nickel</v>
      </c>
      <c r="M33" s="74" t="str">
        <f>IF(ISBLANK('[1]Nickel Qualified Studies'!F6),"",'[1]Nickel Qualified Studies'!F6)</f>
        <v>3.6430072646 kg_CO2e/kg_NiSO4_anh</v>
      </c>
      <c r="N33" s="73" t="str">
        <f>IF(ISBLANK('[1]Nickel Qualified Studies'!G6),"",'[1]Nickel Qualified Studies'!G6)</f>
        <v>yes</v>
      </c>
      <c r="O33" s="73" t="str">
        <f>IF(ISBLANK('[1]Nickel Qualified Studies'!H6),"",'[1]Nickel Qualified Studies'!H6)</f>
        <v>1 kg of nickel contained in nickel product at factory gate ⇒ class 1 nickel is defined as 100% nickel</v>
      </c>
      <c r="P33" s="73" t="str">
        <f>IF(ISBLANK('[1]Nickel Qualified Studies'!I6),"",'[1]Nickel Qualified Studies'!I6)</f>
        <v>see screenshot</v>
      </c>
      <c r="Q33" s="73" t="str">
        <f>IF(ISBLANK('[1]Nickel Qualified Studies'!J6),"",'[1]Nickel Qualified Studies'!J6)</f>
        <v>+ transparent, ++ transparent</v>
      </c>
      <c r="R33" s="73" t="str">
        <f>IF(ISBLANK('[1]Nickel Qualified Studies'!K6),"",'[1]Nickel Qualified Studies'!K6)</f>
        <v>Nickel class I</v>
      </c>
      <c r="S33" s="73" t="str">
        <f>IF(ISBLANK('[1]Nickel Qualified Studies'!L6),"",'[1]Nickel Qualified Studies'!L6)</f>
        <v>backward citation</v>
      </c>
      <c r="T33" s="73" t="str">
        <f>IF(ISBLANK('[1]Nickel Qualified Studies'!M6),"",'[1]Nickel Qualified Studies'!M6)</f>
        <v>Global</v>
      </c>
      <c r="U33" s="73" t="str">
        <f>IF(ISBLANK('[1]Nickel Qualified Studies'!N6),"",'[1]Nickel Qualified Studies'!N6)</f>
        <v/>
      </c>
      <c r="V33" s="77" t="b">
        <v>0</v>
      </c>
      <c r="W33" s="78" t="s">
        <v>684</v>
      </c>
    </row>
    <row r="34" spans="2:23" s="6" customFormat="1" x14ac:dyDescent="0.3">
      <c r="G34" s="1" t="str">
        <f>IF(H34="Norgate and Jahanshahi (2011)","","ERROR - check row order of Notion export")</f>
        <v/>
      </c>
      <c r="H34" s="73" t="str">
        <f>IF(ISBLANK('[1]Nickel Qualified Studies'!A7),"",'[1]Nickel Qualified Studies'!A7)</f>
        <v>Norgate and Jahanshahi (2011)</v>
      </c>
      <c r="I34" s="73" t="str">
        <f>IF(ISBLANK('[1]Nickel Qualified Studies'!B7),"",'[1]Nickel Qualified Studies'!B7)</f>
        <v>Assessing the energy and greenhouse gas footprints of nickel laterite processing</v>
      </c>
      <c r="J34" s="73" t="str">
        <f>IF(ISBLANK('[1]Nickel Qualified Studies'!C7),"",'[1]Nickel Qualified Studies'!C7)</f>
        <v>https://www.sciencedirect.com/science/article/pii/S0892687510002803#t0005</v>
      </c>
      <c r="K34" s="73" t="str">
        <f>IF(ISBLANK('[1]Nickel Qualified Studies'!D7),"",'[1]Nickel Qualified Studies'!D7)</f>
        <v>Literature</v>
      </c>
      <c r="L34" s="73" t="str">
        <f>IF(ISBLANK('[1]Nickel Qualified Studies'!E7),"",'[1]Nickel Qualified Studies'!E7)</f>
        <v>HPAL: 22.7 t CO2e/ t Ni metal
(without acid plant: 27.3 t CO2e/ t Ni metal)</v>
      </c>
      <c r="M34" s="74" t="str">
        <f>IF(ISBLANK('[1]Nickel Qualified Studies'!F7),"",'[1]Nickel Qualified Studies'!F7)</f>
        <v>9.655572809 kg_CO2e/kg_NiSO4_anh</v>
      </c>
      <c r="N34" s="73" t="str">
        <f>IF(ISBLANK('[1]Nickel Qualified Studies'!G7),"",'[1]Nickel Qualified Studies'!G7)</f>
        <v>no</v>
      </c>
      <c r="O34" s="73" t="str">
        <f>IF(ISBLANK('[1]Nickel Qualified Studies'!H7),"",'[1]Nickel Qualified Studies'!H7)</f>
        <v>1 ton of nickel metal</v>
      </c>
      <c r="P34" s="73" t="str">
        <f>IF(ISBLANK('[1]Nickel Qualified Studies'!I7),"",'[1]Nickel Qualified Studies'!I7)</f>
        <v>see screenshot</v>
      </c>
      <c r="Q34" s="73" t="str">
        <f>IF(ISBLANK('[1]Nickel Qualified Studies'!J7),"",'[1]Nickel Qualified Studies'!J7)</f>
        <v>-- intransparent</v>
      </c>
      <c r="R34" s="73" t="str">
        <f>IF(ISBLANK('[1]Nickel Qualified Studies'!K7),"",'[1]Nickel Qualified Studies'!K7)</f>
        <v>Nickel class I</v>
      </c>
      <c r="S34" s="73" t="str">
        <f>IF(ISBLANK('[1]Nickel Qualified Studies'!L7),"",'[1]Nickel Qualified Studies'!L7)</f>
        <v>backward citation</v>
      </c>
      <c r="T34" s="73" t="str">
        <f>IF(ISBLANK('[1]Nickel Qualified Studies'!M7),"",'[1]Nickel Qualified Studies'!M7)</f>
        <v>Australia, Unclear</v>
      </c>
      <c r="U34" s="73" t="str">
        <f>IF(ISBLANK('[1]Nickel Qualified Studies'!N7),"",'[1]Nickel Qualified Studies'!N7)</f>
        <v/>
      </c>
      <c r="V34" s="77" t="b">
        <v>0</v>
      </c>
      <c r="W34" s="78" t="s">
        <v>684</v>
      </c>
    </row>
    <row r="35" spans="2:23" ht="72" x14ac:dyDescent="0.3">
      <c r="G35" s="1" t="str">
        <f>IF(H35="Bai et al (2022)","","ERROR - check row order of Notion export")</f>
        <v/>
      </c>
      <c r="H35" s="73" t="str">
        <f>IF(ISBLANK('[1]Nickel Qualified Studies'!A8),"",'[1]Nickel Qualified Studies'!A8)</f>
        <v>Bai et al (2022)</v>
      </c>
      <c r="I35" s="73" t="str">
        <f>IF(ISBLANK('[1]Nickel Qualified Studies'!B8),"",'[1]Nickel Qualified Studies'!B8)</f>
        <v>Strategies for improving the environmental perfomance of nickel production in China: Insight into a life cycle assessment</v>
      </c>
      <c r="J35" s="73" t="str">
        <f>IF(ISBLANK('[1]Nickel Qualified Studies'!C8),"",'[1]Nickel Qualified Studies'!C8)</f>
        <v>https://www.sciencedirect.com/science/article/pii/S0301479722005229?via%3Dihub</v>
      </c>
      <c r="K35" s="73" t="str">
        <f>IF(ISBLANK('[1]Nickel Qualified Studies'!D8),"",'[1]Nickel Qualified Studies'!D8)</f>
        <v>Literature</v>
      </c>
      <c r="L35" s="73" t="str">
        <f>IF(ISBLANK('[1]Nickel Qualified Studies'!E8),"",'[1]Nickel Qualified Studies'!E8)</f>
        <v>GFEM: 24.30 kg CO2e/kg nickel metal (Grinding, Flotation Electrolytic Method)
LEM: 18.50 kg CO2e/kg nickel metal (Leaching, Electrowinning Method)</v>
      </c>
      <c r="M35" s="74" t="str">
        <f>IF(ISBLANK('[1]Nickel Qualified Studies'!F8),"",'[1]Nickel Qualified Studies'!F8)</f>
        <v>GFEM: 10.294357993 kg_CO2e/kg_NiSO4_anh
LEM: 7.978761701 kg_CO2e/kg_NiSO4_anh</v>
      </c>
      <c r="N35" s="73" t="str">
        <f>IF(ISBLANK('[1]Nickel Qualified Studies'!G8),"",'[1]Nickel Qualified Studies'!G8)</f>
        <v>publication based on primary data studies, but no original primary data intorduced</v>
      </c>
      <c r="O35" s="73" t="str">
        <f>IF(ISBLANK('[1]Nickel Qualified Studies'!H8),"",'[1]Nickel Qualified Studies'!H8)</f>
        <v>1 ton of electrolytic nickel production</v>
      </c>
      <c r="P35" s="73" t="str">
        <f>IF(ISBLANK('[1]Nickel Qualified Studies'!I8),"",'[1]Nickel Qualified Studies'!I8)</f>
        <v>see screenshot</v>
      </c>
      <c r="Q35" s="73" t="str">
        <f>IF(ISBLANK('[1]Nickel Qualified Studies'!J8),"",'[1]Nickel Qualified Studies'!J8)</f>
        <v>++ transparent</v>
      </c>
      <c r="R35" s="73" t="str">
        <f>IF(ISBLANK('[1]Nickel Qualified Studies'!K8),"",'[1]Nickel Qualified Studies'!K8)</f>
        <v>Nickel class I</v>
      </c>
      <c r="S35" s="73" t="str">
        <f>IF(ISBLANK('[1]Nickel Qualified Studies'!L8),"",'[1]Nickel Qualified Studies'!L8)</f>
        <v>backward citation</v>
      </c>
      <c r="T35" s="73" t="str">
        <f>IF(ISBLANK('[1]Nickel Qualified Studies'!M8),"",'[1]Nickel Qualified Studies'!M8)</f>
        <v>China</v>
      </c>
      <c r="U35" s="73" t="str">
        <f>IF(ISBLANK('[1]Nickel Qualified Studies'!N8),"",'[1]Nickel Qualified Studies'!N8)</f>
        <v/>
      </c>
      <c r="V35" s="77" t="b">
        <v>0</v>
      </c>
      <c r="W35" s="78" t="s">
        <v>684</v>
      </c>
    </row>
    <row r="36" spans="2:23" x14ac:dyDescent="0.3">
      <c r="G36" s="1" t="str">
        <f>IF(H36="Bollwein (2022)","","ERROR - check row order of Notion export")</f>
        <v/>
      </c>
      <c r="H36" s="73" t="str">
        <f>IF(ISBLANK('[1]Nickel Qualified Studies'!A9),"",'[1]Nickel Qualified Studies'!A9)</f>
        <v>Bollwein (2022)</v>
      </c>
      <c r="I36" s="73" t="str">
        <f>IF(ISBLANK('[1]Nickel Qualified Studies'!B9),"",'[1]Nickel Qualified Studies'!B9)</f>
        <v>Comparative life cycle assessment of prospective battery-grade material production in Norway</v>
      </c>
      <c r="J36" s="73" t="str">
        <f>IF(ISBLANK('[1]Nickel Qualified Studies'!C9),"",'[1]Nickel Qualified Studies'!C9)</f>
        <v>https://hdl.handle.net/11250/3023809</v>
      </c>
      <c r="K36" s="73" t="str">
        <f>IF(ISBLANK('[1]Nickel Qualified Studies'!D9),"",'[1]Nickel Qualified Studies'!D9)</f>
        <v>Report</v>
      </c>
      <c r="L36" s="73" t="str">
        <f>IF(ISBLANK('[1]Nickel Qualified Studies'!E9),"",'[1]Nickel Qualified Studies'!E9)</f>
        <v xml:space="preserve">3.92 kgCO2eq. per kg nickel sulfate anhydrous </v>
      </c>
      <c r="M36" s="74" t="str">
        <f>IF(ISBLANK('[1]Nickel Qualified Studies'!F9),"",'[1]Nickel Qualified Studies'!F9)</f>
        <v>3.92 kg_CO2e/kg_NiSO4_anh</v>
      </c>
      <c r="N36" s="73" t="str">
        <f>IF(ISBLANK('[1]Nickel Qualified Studies'!G9),"",'[1]Nickel Qualified Studies'!G9)</f>
        <v>yes</v>
      </c>
      <c r="O36" s="73" t="str">
        <f>IF(ISBLANK('[1]Nickel Qualified Studies'!H9),"",'[1]Nickel Qualified Studies'!H9)</f>
        <v>1 kg Nickel sulfate anhydrous  (hypothesized)</v>
      </c>
      <c r="P36" s="73" t="str">
        <f>IF(ISBLANK('[1]Nickel Qualified Studies'!I9),"",'[1]Nickel Qualified Studies'!I9)</f>
        <v>screenshot</v>
      </c>
      <c r="Q36" s="73" t="str">
        <f>IF(ISBLANK('[1]Nickel Qualified Studies'!J9),"",'[1]Nickel Qualified Studies'!J9)</f>
        <v>+ transparent</v>
      </c>
      <c r="R36" s="73" t="str">
        <f>IF(ISBLANK('[1]Nickel Qualified Studies'!K9),"",'[1]Nickel Qualified Studies'!K9)</f>
        <v>Nickel sulfate</v>
      </c>
      <c r="S36" s="73" t="str">
        <f>IF(ISBLANK('[1]Nickel Qualified Studies'!L9),"",'[1]Nickel Qualified Studies'!L9)</f>
        <v>google search</v>
      </c>
      <c r="T36" s="73" t="str">
        <f>IF(ISBLANK('[1]Nickel Qualified Studies'!M9),"",'[1]Nickel Qualified Studies'!M9)</f>
        <v>Canada, Norway</v>
      </c>
      <c r="U36" s="73" t="str">
        <f>IF(ISBLANK('[1]Nickel Qualified Studies'!N9),"",'[1]Nickel Qualified Studies'!N9)</f>
        <v>Glencore Nikkelverk</v>
      </c>
      <c r="V36" s="77" t="b">
        <v>0</v>
      </c>
      <c r="W36" s="78" t="s">
        <v>684</v>
      </c>
    </row>
    <row r="37" spans="2:23" x14ac:dyDescent="0.3">
      <c r="G37" s="1" t="str">
        <f>IF(H37="GREET 2022 [mixed]","","ERROR - check row order of Notion export")</f>
        <v/>
      </c>
      <c r="H37" s="73" t="str">
        <f>IF(ISBLANK('[1]Nickel Qualified Studies'!A10),"",'[1]Nickel Qualified Studies'!A10)</f>
        <v>GREET 2022 [mixed]</v>
      </c>
      <c r="I37" s="73" t="str">
        <f>IF(ISBLANK('[1]Nickel Qualified Studies'!B10),"",'[1]Nickel Qualified Studies'!B10)</f>
        <v>GREET 2022 .net</v>
      </c>
      <c r="J37" s="73" t="str">
        <f>IF(ISBLANK('[1]Nickel Qualified Studies'!C10),"",'[1]Nickel Qualified Studies'!C10)</f>
        <v>https://greet.anl.gov/</v>
      </c>
      <c r="K37" s="73" t="str">
        <f>IF(ISBLANK('[1]Nickel Qualified Studies'!D10),"",'[1]Nickel Qualified Studies'!D10)</f>
        <v>Database</v>
      </c>
      <c r="L37" s="73" t="str">
        <f>IF(ISBLANK('[1]Nickel Qualified Studies'!E10),"",'[1]Nickel Qualified Studies'!E10)</f>
        <v>7,0261 kg_CO2e/kg_NiSO4 anhydrous</v>
      </c>
      <c r="M37" s="74" t="str">
        <f>IF(ISBLANK('[1]Nickel Qualified Studies'!F10),"",'[1]Nickel Qualified Studies'!F10)</f>
        <v>7,0261  kg_CO2e/kg_NiSO4_anh</v>
      </c>
      <c r="N37" s="73" t="str">
        <f>IF(ISBLANK('[1]Nickel Qualified Studies'!G10),"",'[1]Nickel Qualified Studies'!G10)</f>
        <v/>
      </c>
      <c r="O37" s="73" t="str">
        <f>IF(ISBLANK('[1]Nickel Qualified Studies'!H10),"",'[1]Nickel Qualified Studies'!H10)</f>
        <v>1 kg Nickel sulfate anhydrous</v>
      </c>
      <c r="P37" s="73" t="str">
        <f>IF(ISBLANK('[1]Nickel Qualified Studies'!I10),"",'[1]Nickel Qualified Studies'!I10)</f>
        <v/>
      </c>
      <c r="Q37" s="73" t="str">
        <f>IF(ISBLANK('[1]Nickel Qualified Studies'!J10),"",'[1]Nickel Qualified Studies'!J10)</f>
        <v/>
      </c>
      <c r="R37" s="73" t="str">
        <f>IF(ISBLANK('[1]Nickel Qualified Studies'!K10),"",'[1]Nickel Qualified Studies'!K10)</f>
        <v>Nickel sulfate</v>
      </c>
      <c r="S37" s="73" t="str">
        <f>IF(ISBLANK('[1]Nickel Qualified Studies'!L10),"",'[1]Nickel Qualified Studies'!L10)</f>
        <v/>
      </c>
      <c r="T37" s="73" t="str">
        <f>IF(ISBLANK('[1]Nickel Qualified Studies'!M10),"",'[1]Nickel Qualified Studies'!M10)</f>
        <v/>
      </c>
      <c r="U37" s="73" t="str">
        <f>IF(ISBLANK('[1]Nickel Qualified Studies'!N10),"",'[1]Nickel Qualified Studies'!N10)</f>
        <v/>
      </c>
      <c r="V37" s="77" t="b">
        <v>0</v>
      </c>
      <c r="W37" s="78" t="s">
        <v>684</v>
      </c>
    </row>
    <row r="38" spans="2:23" x14ac:dyDescent="0.3">
      <c r="G38" s="1" t="str">
        <f>IF(H38="GREET 2022 [Lat-Lim (no metal intermediate)]","","ERROR - check row order of Notion export")</f>
        <v/>
      </c>
      <c r="H38" s="73" t="str">
        <f>IF(ISBLANK('[1]Nickel Qualified Studies'!A11),"",'[1]Nickel Qualified Studies'!A11)</f>
        <v>GREET 2022 [Lat-Lim (no metal intermediate)]</v>
      </c>
      <c r="I38" s="73" t="str">
        <f>IF(ISBLANK('[1]Nickel Qualified Studies'!B11),"",'[1]Nickel Qualified Studies'!B11)</f>
        <v>GREET 2022 .net</v>
      </c>
      <c r="J38" s="73" t="str">
        <f>IF(ISBLANK('[1]Nickel Qualified Studies'!C11),"",'[1]Nickel Qualified Studies'!C11)</f>
        <v>https://greet.anl.gov/</v>
      </c>
      <c r="K38" s="73" t="str">
        <f>IF(ISBLANK('[1]Nickel Qualified Studies'!D11),"",'[1]Nickel Qualified Studies'!D11)</f>
        <v>Database</v>
      </c>
      <c r="L38" s="73" t="str">
        <f>IF(ISBLANK('[1]Nickel Qualified Studies'!E11),"",'[1]Nickel Qualified Studies'!E11)</f>
        <v>10,3016 kg_CO2e/kg_NiSO4 anhydrous</v>
      </c>
      <c r="M38" s="74" t="str">
        <f>IF(ISBLANK('[1]Nickel Qualified Studies'!F11),"",'[1]Nickel Qualified Studies'!F11)</f>
        <v>10,3016  kg_CO2e/kg_NiSO4_anh</v>
      </c>
      <c r="N38" s="73" t="str">
        <f>IF(ISBLANK('[1]Nickel Qualified Studies'!G11),"",'[1]Nickel Qualified Studies'!G11)</f>
        <v/>
      </c>
      <c r="O38" s="73" t="str">
        <f>IF(ISBLANK('[1]Nickel Qualified Studies'!H11),"",'[1]Nickel Qualified Studies'!H11)</f>
        <v>1 kg Nickel sulfate anhydrous</v>
      </c>
      <c r="P38" s="73" t="str">
        <f>IF(ISBLANK('[1]Nickel Qualified Studies'!I11),"",'[1]Nickel Qualified Studies'!I11)</f>
        <v/>
      </c>
      <c r="Q38" s="73" t="str">
        <f>IF(ISBLANK('[1]Nickel Qualified Studies'!J11),"",'[1]Nickel Qualified Studies'!J11)</f>
        <v/>
      </c>
      <c r="R38" s="73" t="str">
        <f>IF(ISBLANK('[1]Nickel Qualified Studies'!K11),"",'[1]Nickel Qualified Studies'!K11)</f>
        <v>Nickel sulfate</v>
      </c>
      <c r="S38" s="73" t="str">
        <f>IF(ISBLANK('[1]Nickel Qualified Studies'!L11),"",'[1]Nickel Qualified Studies'!L11)</f>
        <v/>
      </c>
      <c r="T38" s="73" t="str">
        <f>IF(ISBLANK('[1]Nickel Qualified Studies'!M11),"",'[1]Nickel Qualified Studies'!M11)</f>
        <v/>
      </c>
      <c r="U38" s="73" t="str">
        <f>IF(ISBLANK('[1]Nickel Qualified Studies'!N11),"",'[1]Nickel Qualified Studies'!N11)</f>
        <v/>
      </c>
      <c r="V38" s="77" t="b">
        <v>1</v>
      </c>
      <c r="W38" s="78"/>
    </row>
    <row r="39" spans="2:23" x14ac:dyDescent="0.3">
      <c r="G39" s="1" t="str">
        <f>IF(H39="GREET 2022 [Sulph]","","ERROR - check row order of Notion export")</f>
        <v/>
      </c>
      <c r="H39" s="73" t="str">
        <f>IF(ISBLANK('[1]Nickel Qualified Studies'!A12),"",'[1]Nickel Qualified Studies'!A12)</f>
        <v>GREET 2022 [Sulph]</v>
      </c>
      <c r="I39" s="73" t="str">
        <f>IF(ISBLANK('[1]Nickel Qualified Studies'!B12),"",'[1]Nickel Qualified Studies'!B12)</f>
        <v>GREET 2022 .net</v>
      </c>
      <c r="J39" s="73" t="str">
        <f>IF(ISBLANK('[1]Nickel Qualified Studies'!C12),"",'[1]Nickel Qualified Studies'!C12)</f>
        <v>https://greet.anl.gov/</v>
      </c>
      <c r="K39" s="73" t="str">
        <f>IF(ISBLANK('[1]Nickel Qualified Studies'!D12),"",'[1]Nickel Qualified Studies'!D12)</f>
        <v>Database</v>
      </c>
      <c r="L39" s="73" t="str">
        <f>IF(ISBLANK('[1]Nickel Qualified Studies'!E12),"",'[1]Nickel Qualified Studies'!E12)</f>
        <v>3,4697 kg_CO2e/kg_NiSO4 anhydrous</v>
      </c>
      <c r="M39" s="74" t="str">
        <f>IF(ISBLANK('[1]Nickel Qualified Studies'!F12),"",'[1]Nickel Qualified Studies'!F12)</f>
        <v>3,4697  kg_CO2e/kg_NiSO4_anh</v>
      </c>
      <c r="N39" s="73" t="str">
        <f>IF(ISBLANK('[1]Nickel Qualified Studies'!G12),"",'[1]Nickel Qualified Studies'!G12)</f>
        <v/>
      </c>
      <c r="O39" s="73" t="str">
        <f>IF(ISBLANK('[1]Nickel Qualified Studies'!H12),"",'[1]Nickel Qualified Studies'!H12)</f>
        <v>1 kg Nickel sulfate anhydrous</v>
      </c>
      <c r="P39" s="73" t="str">
        <f>IF(ISBLANK('[1]Nickel Qualified Studies'!I12),"",'[1]Nickel Qualified Studies'!I12)</f>
        <v/>
      </c>
      <c r="Q39" s="73" t="str">
        <f>IF(ISBLANK('[1]Nickel Qualified Studies'!J12),"",'[1]Nickel Qualified Studies'!J12)</f>
        <v/>
      </c>
      <c r="R39" s="73" t="str">
        <f>IF(ISBLANK('[1]Nickel Qualified Studies'!K12),"",'[1]Nickel Qualified Studies'!K12)</f>
        <v>Nickel sulfate</v>
      </c>
      <c r="S39" s="73" t="str">
        <f>IF(ISBLANK('[1]Nickel Qualified Studies'!L12),"",'[1]Nickel Qualified Studies'!L12)</f>
        <v/>
      </c>
      <c r="T39" s="73" t="str">
        <f>IF(ISBLANK('[1]Nickel Qualified Studies'!M12),"",'[1]Nickel Qualified Studies'!M12)</f>
        <v/>
      </c>
      <c r="U39" s="73" t="str">
        <f>IF(ISBLANK('[1]Nickel Qualified Studies'!N12),"",'[1]Nickel Qualified Studies'!N12)</f>
        <v/>
      </c>
      <c r="V39" s="77" t="b">
        <v>0</v>
      </c>
      <c r="W39" s="78" t="s">
        <v>684</v>
      </c>
    </row>
    <row r="40" spans="2:23" x14ac:dyDescent="0.3">
      <c r="G40" s="1" t="str">
        <f>IF(H40="GREET 2022 [Lat-Lim]","","ERROR - check row order of Notion export")</f>
        <v/>
      </c>
      <c r="H40" s="73" t="str">
        <f>IF(ISBLANK('[1]Nickel Qualified Studies'!A13),"",'[1]Nickel Qualified Studies'!A13)</f>
        <v>GREET 2022 [Lat-Lim]</v>
      </c>
      <c r="I40" s="73" t="str">
        <f>IF(ISBLANK('[1]Nickel Qualified Studies'!B13),"",'[1]Nickel Qualified Studies'!B13)</f>
        <v>GREET 2022 .net</v>
      </c>
      <c r="J40" s="73" t="str">
        <f>IF(ISBLANK('[1]Nickel Qualified Studies'!C13),"",'[1]Nickel Qualified Studies'!C13)</f>
        <v>https://greet.anl.gov/</v>
      </c>
      <c r="K40" s="73" t="str">
        <f>IF(ISBLANK('[1]Nickel Qualified Studies'!D13),"",'[1]Nickel Qualified Studies'!D13)</f>
        <v>Database</v>
      </c>
      <c r="L40" s="73" t="str">
        <f>IF(ISBLANK('[1]Nickel Qualified Studies'!E13),"",'[1]Nickel Qualified Studies'!E13)</f>
        <v>15,2099 kg_CO2e/kg_NiSO4 anhydrous</v>
      </c>
      <c r="M40" s="74" t="str">
        <f>IF(ISBLANK('[1]Nickel Qualified Studies'!F13),"",'[1]Nickel Qualified Studies'!F13)</f>
        <v>15,2099  kg_CO2e/kg_NiSO4_anh</v>
      </c>
      <c r="N40" s="73" t="str">
        <f>IF(ISBLANK('[1]Nickel Qualified Studies'!G13),"",'[1]Nickel Qualified Studies'!G13)</f>
        <v/>
      </c>
      <c r="O40" s="73" t="str">
        <f>IF(ISBLANK('[1]Nickel Qualified Studies'!H13),"",'[1]Nickel Qualified Studies'!H13)</f>
        <v>1 kg Nickel sulfate anhydrous</v>
      </c>
      <c r="P40" s="73" t="str">
        <f>IF(ISBLANK('[1]Nickel Qualified Studies'!I13),"",'[1]Nickel Qualified Studies'!I13)</f>
        <v/>
      </c>
      <c r="Q40" s="73" t="str">
        <f>IF(ISBLANK('[1]Nickel Qualified Studies'!J13),"",'[1]Nickel Qualified Studies'!J13)</f>
        <v/>
      </c>
      <c r="R40" s="73" t="str">
        <f>IF(ISBLANK('[1]Nickel Qualified Studies'!K13),"",'[1]Nickel Qualified Studies'!K13)</f>
        <v>Nickel sulfate</v>
      </c>
      <c r="S40" s="73" t="str">
        <f>IF(ISBLANK('[1]Nickel Qualified Studies'!L13),"",'[1]Nickel Qualified Studies'!L13)</f>
        <v/>
      </c>
      <c r="T40" s="73" t="str">
        <f>IF(ISBLANK('[1]Nickel Qualified Studies'!M13),"",'[1]Nickel Qualified Studies'!M13)</f>
        <v/>
      </c>
      <c r="U40" s="73" t="str">
        <f>IF(ISBLANK('[1]Nickel Qualified Studies'!N13),"",'[1]Nickel Qualified Studies'!N13)</f>
        <v/>
      </c>
      <c r="V40" s="77" t="b">
        <v>1</v>
      </c>
      <c r="W40" s="78"/>
    </row>
    <row r="41" spans="2:23" x14ac:dyDescent="0.3">
      <c r="G41" s="1" t="str">
        <f>IF(H41="EI 3.9.1","","ERROR - check row order of Notion export")</f>
        <v/>
      </c>
      <c r="H41" s="73" t="str">
        <f>IF(ISBLANK('[1]Nickel Qualified Studies'!A14),"",'[1]Nickel Qualified Studies'!A14)</f>
        <v>EI 3.9.1</v>
      </c>
      <c r="I41" s="73" t="str">
        <f>IF(ISBLANK('[1]Nickel Qualified Studies'!B14),"",'[1]Nickel Qualified Studies'!B14)</f>
        <v>nickel sulfate production</v>
      </c>
      <c r="J41" s="73" t="str">
        <f>IF(ISBLANK('[1]Nickel Qualified Studies'!C14),"",'[1]Nickel Qualified Studies'!C14)</f>
        <v>https://ecoquery.ecoinvent.org/3.9.1/cutoff/dataset/113/documentation</v>
      </c>
      <c r="K41" s="73" t="str">
        <f>IF(ISBLANK('[1]Nickel Qualified Studies'!D14),"",'[1]Nickel Qualified Studies'!D14)</f>
        <v>Database</v>
      </c>
      <c r="L41" s="73" t="str">
        <f>IF(ISBLANK('[1]Nickel Qualified Studies'!E14),"",'[1]Nickel Qualified Studies'!E14)</f>
        <v>7,5907 kg_CO2e/kg_NiSO4</v>
      </c>
      <c r="M41" s="74" t="str">
        <f>IF(ISBLANK('[1]Nickel Qualified Studies'!F14),"",'[1]Nickel Qualified Studies'!F14)</f>
        <v>7,5907  kg_CO2e/kg_NiSO4_anh</v>
      </c>
      <c r="N41" s="73" t="str">
        <f>IF(ISBLANK('[1]Nickel Qualified Studies'!G14),"",'[1]Nickel Qualified Studies'!G14)</f>
        <v/>
      </c>
      <c r="O41" s="73" t="str">
        <f>IF(ISBLANK('[1]Nickel Qualified Studies'!H14),"",'[1]Nickel Qualified Studies'!H14)</f>
        <v>1 kg Nickel sulfate anhydrous</v>
      </c>
      <c r="P41" s="73" t="str">
        <f>IF(ISBLANK('[1]Nickel Qualified Studies'!I14),"",'[1]Nickel Qualified Studies'!I14)</f>
        <v/>
      </c>
      <c r="Q41" s="73" t="str">
        <f>IF(ISBLANK('[1]Nickel Qualified Studies'!J14),"",'[1]Nickel Qualified Studies'!J14)</f>
        <v/>
      </c>
      <c r="R41" s="73" t="str">
        <f>IF(ISBLANK('[1]Nickel Qualified Studies'!K14),"",'[1]Nickel Qualified Studies'!K14)</f>
        <v>Nickel sulfate</v>
      </c>
      <c r="S41" s="73" t="str">
        <f>IF(ISBLANK('[1]Nickel Qualified Studies'!L14),"",'[1]Nickel Qualified Studies'!L14)</f>
        <v/>
      </c>
      <c r="T41" s="73" t="str">
        <f>IF(ISBLANK('[1]Nickel Qualified Studies'!M14),"",'[1]Nickel Qualified Studies'!M14)</f>
        <v>Global</v>
      </c>
      <c r="U41" s="73" t="str">
        <f>IF(ISBLANK('[1]Nickel Qualified Studies'!N14),"",'[1]Nickel Qualified Studies'!N14)</f>
        <v>Gendorf</v>
      </c>
      <c r="V41" s="77" t="b">
        <v>0</v>
      </c>
      <c r="W41" s="78" t="s">
        <v>684</v>
      </c>
    </row>
    <row r="42" spans="2:23" ht="28.8" x14ac:dyDescent="0.3">
      <c r="G42" s="1" t="str">
        <f>IF(H42="EI 3.9.1 [Sulph, CN]","","ERROR - check row order of Notion export")</f>
        <v/>
      </c>
      <c r="H42" s="73" t="str">
        <f>IF(ISBLANK('[1]Nickel Qualified Studies'!A15),"",'[1]Nickel Qualified Studies'!A15)</f>
        <v>EI 3.9.1 [Sulph, CN]</v>
      </c>
      <c r="I42" s="73" t="str">
        <f>IF(ISBLANK('[1]Nickel Qualified Studies'!B15),"",'[1]Nickel Qualified Studies'!B15)</f>
        <v>nickel, class 1 smelting and refining of nickel concentrate, 7% Ni</v>
      </c>
      <c r="J42" s="73" t="str">
        <f>IF(ISBLANK('[1]Nickel Qualified Studies'!C15),"",'[1]Nickel Qualified Studies'!C15)</f>
        <v>https://ecoquery.ecoinvent.org/3.9.1/cutoff/dataset/23679/documentation</v>
      </c>
      <c r="K42" s="73" t="str">
        <f>IF(ISBLANK('[1]Nickel Qualified Studies'!D15),"",'[1]Nickel Qualified Studies'!D15)</f>
        <v>Database</v>
      </c>
      <c r="L42" s="73" t="str">
        <f>IF(ISBLANK('[1]Nickel Qualified Studies'!E15),"",'[1]Nickel Qualified Studies'!E15)</f>
        <v>33,925 kg_CO2e/kg_Ni_metal</v>
      </c>
      <c r="M42" s="74" t="str">
        <f>IF(ISBLANK('[1]Nickel Qualified Studies'!F15),"",'[1]Nickel Qualified Studies'!F15)</f>
        <v>14.1370501155 kg_CO2e/kg_NiSO4_anh</v>
      </c>
      <c r="N42" s="73" t="str">
        <f>IF(ISBLANK('[1]Nickel Qualified Studies'!G15),"",'[1]Nickel Qualified Studies'!G15)</f>
        <v/>
      </c>
      <c r="O42" s="73" t="str">
        <f>IF(ISBLANK('[1]Nickel Qualified Studies'!H15),"",'[1]Nickel Qualified Studies'!H15)</f>
        <v>1 kg Nickel metal</v>
      </c>
      <c r="P42" s="73" t="str">
        <f>IF(ISBLANK('[1]Nickel Qualified Studies'!I15),"",'[1]Nickel Qualified Studies'!I15)</f>
        <v/>
      </c>
      <c r="Q42" s="73" t="str">
        <f>IF(ISBLANK('[1]Nickel Qualified Studies'!J15),"",'[1]Nickel Qualified Studies'!J15)</f>
        <v/>
      </c>
      <c r="R42" s="73" t="str">
        <f>IF(ISBLANK('[1]Nickel Qualified Studies'!K15),"",'[1]Nickel Qualified Studies'!K15)</f>
        <v>Nickel class I</v>
      </c>
      <c r="S42" s="73" t="str">
        <f>IF(ISBLANK('[1]Nickel Qualified Studies'!L15),"",'[1]Nickel Qualified Studies'!L15)</f>
        <v/>
      </c>
      <c r="T42" s="73" t="str">
        <f>IF(ISBLANK('[1]Nickel Qualified Studies'!M15),"",'[1]Nickel Qualified Studies'!M15)</f>
        <v>China</v>
      </c>
      <c r="U42" s="73" t="str">
        <f>IF(ISBLANK('[1]Nickel Qualified Studies'!N15),"",'[1]Nickel Qualified Studies'!N15)</f>
        <v/>
      </c>
      <c r="V42" s="77" t="b">
        <v>0</v>
      </c>
      <c r="W42" s="78" t="s">
        <v>684</v>
      </c>
    </row>
    <row r="43" spans="2:23" ht="28.8" x14ac:dyDescent="0.3">
      <c r="G43" s="1" t="str">
        <f>IF(H43="EI 3.9.1 [from cobalt production, GLO]","","ERROR - check row order of Notion export")</f>
        <v/>
      </c>
      <c r="H43" s="73" t="str">
        <f>IF(ISBLANK('[1]Nickel Qualified Studies'!A16),"",'[1]Nickel Qualified Studies'!A16)</f>
        <v>EI 3.9.1 [from cobalt production, GLO]</v>
      </c>
      <c r="I43" s="73" t="str">
        <f>IF(ISBLANK('[1]Nickel Qualified Studies'!B16),"",'[1]Nickel Qualified Studies'!B16)</f>
        <v>nickel, class 1 cobalt production</v>
      </c>
      <c r="J43" s="73" t="str">
        <f>IF(ISBLANK('[1]Nickel Qualified Studies'!C16),"",'[1]Nickel Qualified Studies'!C16)</f>
        <v>https://ecoquery.ecoinvent.org/3.9.1/cutoff/dataset/23006/impact_assessment</v>
      </c>
      <c r="K43" s="73" t="str">
        <f>IF(ISBLANK('[1]Nickel Qualified Studies'!D16),"",'[1]Nickel Qualified Studies'!D16)</f>
        <v>Database</v>
      </c>
      <c r="L43" s="73" t="str">
        <f>IF(ISBLANK('[1]Nickel Qualified Studies'!E16),"",'[1]Nickel Qualified Studies'!E16)</f>
        <v>18,814 kg_CO2e/kg_Ni_metal</v>
      </c>
      <c r="M43" s="74" t="str">
        <f>IF(ISBLANK('[1]Nickel Qualified Studies'!F16),"",'[1]Nickel Qualified Studies'!F16)</f>
        <v>8.10412329336 kg_CO2e/kg_NiSO4_anh</v>
      </c>
      <c r="N43" s="73" t="str">
        <f>IF(ISBLANK('[1]Nickel Qualified Studies'!G16),"",'[1]Nickel Qualified Studies'!G16)</f>
        <v/>
      </c>
      <c r="O43" s="73" t="str">
        <f>IF(ISBLANK('[1]Nickel Qualified Studies'!H16),"",'[1]Nickel Qualified Studies'!H16)</f>
        <v>1 kg Nickel metal</v>
      </c>
      <c r="P43" s="73" t="str">
        <f>IF(ISBLANK('[1]Nickel Qualified Studies'!I16),"",'[1]Nickel Qualified Studies'!I16)</f>
        <v/>
      </c>
      <c r="Q43" s="73" t="str">
        <f>IF(ISBLANK('[1]Nickel Qualified Studies'!J16),"",'[1]Nickel Qualified Studies'!J16)</f>
        <v/>
      </c>
      <c r="R43" s="73" t="str">
        <f>IF(ISBLANK('[1]Nickel Qualified Studies'!K16),"",'[1]Nickel Qualified Studies'!K16)</f>
        <v>Nickel class I</v>
      </c>
      <c r="S43" s="73" t="str">
        <f>IF(ISBLANK('[1]Nickel Qualified Studies'!L16),"",'[1]Nickel Qualified Studies'!L16)</f>
        <v/>
      </c>
      <c r="T43" s="73" t="str">
        <f>IF(ISBLANK('[1]Nickel Qualified Studies'!M16),"",'[1]Nickel Qualified Studies'!M16)</f>
        <v>Global</v>
      </c>
      <c r="U43" s="73" t="str">
        <f>IF(ISBLANK('[1]Nickel Qualified Studies'!N16),"",'[1]Nickel Qualified Studies'!N16)</f>
        <v/>
      </c>
      <c r="V43" s="77" t="b">
        <v>0</v>
      </c>
      <c r="W43" s="78" t="s">
        <v>684</v>
      </c>
    </row>
    <row r="44" spans="2:23" ht="28.8" x14ac:dyDescent="0.3">
      <c r="G44" s="1" t="str">
        <f>IF(H44="EI 3.9.1 [Sulph, GLO]","","ERROR - check row order of Notion export")</f>
        <v/>
      </c>
      <c r="H44" s="73" t="str">
        <f>IF(ISBLANK('[1]Nickel Qualified Studies'!A17),"",'[1]Nickel Qualified Studies'!A17)</f>
        <v>EI 3.9.1 [Sulph, GLO]</v>
      </c>
      <c r="I44" s="73" t="str">
        <f>IF(ISBLANK('[1]Nickel Qualified Studies'!B17),"",'[1]Nickel Qualified Studies'!B17)</f>
        <v>nickel, class 1 processing of nickelrich materials</v>
      </c>
      <c r="J44" s="73" t="str">
        <f>IF(ISBLANK('[1]Nickel Qualified Studies'!C17),"",'[1]Nickel Qualified Studies'!C17)</f>
        <v>https://ecoquery.ecoinvent.org/3.9.1/cutoff/dataset/22681/impact_assessment</v>
      </c>
      <c r="K44" s="73" t="str">
        <f>IF(ISBLANK('[1]Nickel Qualified Studies'!D17),"",'[1]Nickel Qualified Studies'!D17)</f>
        <v>Database</v>
      </c>
      <c r="L44" s="73" t="str">
        <f>IF(ISBLANK('[1]Nickel Qualified Studies'!E17),"",'[1]Nickel Qualified Studies'!E17)</f>
        <v>5,627 kg_CO2e/kg_Ni_metal</v>
      </c>
      <c r="M44" s="74" t="str">
        <f>IF(ISBLANK('[1]Nickel Qualified Studies'!F17),"",'[1]Nickel Qualified Studies'!F17)</f>
        <v>2.83933565498 kg_CO2e/kg_NiSO4_anh</v>
      </c>
      <c r="N44" s="73" t="str">
        <f>IF(ISBLANK('[1]Nickel Qualified Studies'!G17),"",'[1]Nickel Qualified Studies'!G17)</f>
        <v/>
      </c>
      <c r="O44" s="73" t="str">
        <f>IF(ISBLANK('[1]Nickel Qualified Studies'!H17),"",'[1]Nickel Qualified Studies'!H17)</f>
        <v>1 kg Nickel metal</v>
      </c>
      <c r="P44" s="73" t="str">
        <f>IF(ISBLANK('[1]Nickel Qualified Studies'!I17),"",'[1]Nickel Qualified Studies'!I17)</f>
        <v/>
      </c>
      <c r="Q44" s="73" t="str">
        <f>IF(ISBLANK('[1]Nickel Qualified Studies'!J17),"",'[1]Nickel Qualified Studies'!J17)</f>
        <v/>
      </c>
      <c r="R44" s="73" t="str">
        <f>IF(ISBLANK('[1]Nickel Qualified Studies'!K17),"",'[1]Nickel Qualified Studies'!K17)</f>
        <v>Nickel class I</v>
      </c>
      <c r="S44" s="73" t="str">
        <f>IF(ISBLANK('[1]Nickel Qualified Studies'!L17),"",'[1]Nickel Qualified Studies'!L17)</f>
        <v/>
      </c>
      <c r="T44" s="73" t="str">
        <f>IF(ISBLANK('[1]Nickel Qualified Studies'!M17),"",'[1]Nickel Qualified Studies'!M17)</f>
        <v>Global</v>
      </c>
      <c r="U44" s="73" t="str">
        <f>IF(ISBLANK('[1]Nickel Qualified Studies'!N17),"",'[1]Nickel Qualified Studies'!N17)</f>
        <v/>
      </c>
      <c r="V44" s="77" t="b">
        <v>0</v>
      </c>
      <c r="W44" s="78" t="s">
        <v>684</v>
      </c>
    </row>
    <row r="45" spans="2:23" x14ac:dyDescent="0.3">
      <c r="G45" s="1" t="str">
        <f>IF(H45="EI 3.9.1 [Sulph, GLO]","","ERROR - check row order of Notion export")</f>
        <v/>
      </c>
      <c r="H45" s="73" t="str">
        <f>IF(ISBLANK('[1]Nickel Qualified Studies'!A18),"",'[1]Nickel Qualified Studies'!A18)</f>
        <v>EI 3.9.1 [Sulph, GLO]</v>
      </c>
      <c r="I45" s="73" t="str">
        <f>IF(ISBLANK('[1]Nickel Qualified Studies'!B18),"",'[1]Nickel Qualified Studies'!B18)</f>
        <v>nickel, class 1 smelting and refining of nickel concentrate, 16% Ni</v>
      </c>
      <c r="J45" s="73" t="str">
        <f>IF(ISBLANK('[1]Nickel Qualified Studies'!C18),"",'[1]Nickel Qualified Studies'!C18)</f>
        <v>https://ecoquery.ecoinvent.org/3.9.1/cutoff/dataset/13353/impact_assessment</v>
      </c>
      <c r="K45" s="73" t="str">
        <f>IF(ISBLANK('[1]Nickel Qualified Studies'!D18),"",'[1]Nickel Qualified Studies'!D18)</f>
        <v>Database</v>
      </c>
      <c r="L45" s="73" t="str">
        <f>IF(ISBLANK('[1]Nickel Qualified Studies'!E18),"",'[1]Nickel Qualified Studies'!E18)</f>
        <v>10,495 kg_CO2e/kg_Ni_metal</v>
      </c>
      <c r="M45" s="74" t="str">
        <f>IF(ISBLANK('[1]Nickel Qualified Studies'!F18),"",'[1]Nickel Qualified Studies'!F18)</f>
        <v>4.7828395773 kg_CO2e/kg_NiSO4_anh</v>
      </c>
      <c r="N45" s="73" t="str">
        <f>IF(ISBLANK('[1]Nickel Qualified Studies'!G18),"",'[1]Nickel Qualified Studies'!G18)</f>
        <v/>
      </c>
      <c r="O45" s="73" t="str">
        <f>IF(ISBLANK('[1]Nickel Qualified Studies'!H18),"",'[1]Nickel Qualified Studies'!H18)</f>
        <v>1 kg Nickel metal</v>
      </c>
      <c r="P45" s="73" t="str">
        <f>IF(ISBLANK('[1]Nickel Qualified Studies'!I18),"",'[1]Nickel Qualified Studies'!I18)</f>
        <v/>
      </c>
      <c r="Q45" s="73" t="str">
        <f>IF(ISBLANK('[1]Nickel Qualified Studies'!J18),"",'[1]Nickel Qualified Studies'!J18)</f>
        <v/>
      </c>
      <c r="R45" s="73" t="str">
        <f>IF(ISBLANK('[1]Nickel Qualified Studies'!K18),"",'[1]Nickel Qualified Studies'!K18)</f>
        <v>Nickel class I</v>
      </c>
      <c r="S45" s="73" t="str">
        <f>IF(ISBLANK('[1]Nickel Qualified Studies'!L18),"",'[1]Nickel Qualified Studies'!L18)</f>
        <v/>
      </c>
      <c r="T45" s="73" t="str">
        <f>IF(ISBLANK('[1]Nickel Qualified Studies'!M18),"",'[1]Nickel Qualified Studies'!M18)</f>
        <v>Global</v>
      </c>
      <c r="U45" s="73" t="str">
        <f>IF(ISBLANK('[1]Nickel Qualified Studies'!N18),"",'[1]Nickel Qualified Studies'!N18)</f>
        <v/>
      </c>
      <c r="V45" s="77" t="b">
        <v>0</v>
      </c>
      <c r="W45" s="78" t="s">
        <v>684</v>
      </c>
    </row>
    <row r="46" spans="2:23" ht="28.8" x14ac:dyDescent="0.3">
      <c r="G46" s="1" t="str">
        <f>IF(H46="EI 3.9.1 [Sulph, RU]","","ERROR - check row order of Notion export")</f>
        <v/>
      </c>
      <c r="H46" s="73" t="str">
        <f>IF(ISBLANK('[1]Nickel Qualified Studies'!A19),"",'[1]Nickel Qualified Studies'!A19)</f>
        <v>EI 3.9.1 [Sulph, RU]</v>
      </c>
      <c r="I46" s="73" t="str">
        <f>IF(ISBLANK('[1]Nickel Qualified Studies'!B19),"",'[1]Nickel Qualified Studies'!B19)</f>
        <v>nickel, class 1 platinum group metal mine operation, ore with high palladium content</v>
      </c>
      <c r="J46" s="73" t="str">
        <f>IF(ISBLANK('[1]Nickel Qualified Studies'!C19),"",'[1]Nickel Qualified Studies'!C19)</f>
        <v>https://ecoquery.ecoinvent.org/3.9.1/cutoff/dataset/5172/impact_assessment</v>
      </c>
      <c r="K46" s="73" t="str">
        <f>IF(ISBLANK('[1]Nickel Qualified Studies'!D19),"",'[1]Nickel Qualified Studies'!D19)</f>
        <v>Database</v>
      </c>
      <c r="L46" s="73" t="str">
        <f>IF(ISBLANK('[1]Nickel Qualified Studies'!E19),"",'[1]Nickel Qualified Studies'!E19)</f>
        <v>8,5474 kg_CO2e/kg_Ni_metal</v>
      </c>
      <c r="M46" s="74" t="str">
        <f>IF(ISBLANK('[1]Nickel Qualified Studies'!F19),"",'[1]Nickel Qualified Studies'!F19)</f>
        <v>4.005278312076 kg_CO2e/kg_NiSO4_anh</v>
      </c>
      <c r="N46" s="73" t="str">
        <f>IF(ISBLANK('[1]Nickel Qualified Studies'!G19),"",'[1]Nickel Qualified Studies'!G19)</f>
        <v/>
      </c>
      <c r="O46" s="73" t="str">
        <f>IF(ISBLANK('[1]Nickel Qualified Studies'!H19),"",'[1]Nickel Qualified Studies'!H19)</f>
        <v>1 kg Nickel metal</v>
      </c>
      <c r="P46" s="73" t="str">
        <f>IF(ISBLANK('[1]Nickel Qualified Studies'!I19),"",'[1]Nickel Qualified Studies'!I19)</f>
        <v/>
      </c>
      <c r="Q46" s="73" t="str">
        <f>IF(ISBLANK('[1]Nickel Qualified Studies'!J19),"",'[1]Nickel Qualified Studies'!J19)</f>
        <v/>
      </c>
      <c r="R46" s="73" t="str">
        <f>IF(ISBLANK('[1]Nickel Qualified Studies'!K19),"",'[1]Nickel Qualified Studies'!K19)</f>
        <v>Nickel class I</v>
      </c>
      <c r="S46" s="73" t="str">
        <f>IF(ISBLANK('[1]Nickel Qualified Studies'!L19),"",'[1]Nickel Qualified Studies'!L19)</f>
        <v/>
      </c>
      <c r="T46" s="73" t="str">
        <f>IF(ISBLANK('[1]Nickel Qualified Studies'!M19),"",'[1]Nickel Qualified Studies'!M19)</f>
        <v>Russia</v>
      </c>
      <c r="U46" s="73" t="str">
        <f>IF(ISBLANK('[1]Nickel Qualified Studies'!N19),"",'[1]Nickel Qualified Studies'!N19)</f>
        <v/>
      </c>
      <c r="V46" s="77" t="b">
        <v>0</v>
      </c>
      <c r="W46" s="78" t="s">
        <v>684</v>
      </c>
    </row>
    <row r="47" spans="2:23" ht="86.4" x14ac:dyDescent="0.3">
      <c r="G47" s="1" t="str">
        <f>IF(H47="T&amp;E Briefing","","ERROR - check row order of Notion export")</f>
        <v/>
      </c>
      <c r="H47" s="73" t="str">
        <f>IF(ISBLANK('[1]Nickel Qualified Studies'!A20),"",'[1]Nickel Qualified Studies'!A20)</f>
        <v>T&amp;E Briefing</v>
      </c>
      <c r="I47" s="73" t="str">
        <f>IF(ISBLANK('[1]Nickel Qualified Studies'!B20),"",'[1]Nickel Qualified Studies'!B20)</f>
        <v>Paving the way to cleaner nickel - Nickel in batteries and how to secure it sustainably</v>
      </c>
      <c r="J47" s="73" t="str">
        <f>IF(ISBLANK('[1]Nickel Qualified Studies'!C20),"",'[1]Nickel Qualified Studies'!C20)</f>
        <v>https://www.transportenvironment.org/discover/paving-the-way-to-cleaner-nickel/</v>
      </c>
      <c r="K47" s="73" t="str">
        <f>IF(ISBLANK('[1]Nickel Qualified Studies'!D20),"",'[1]Nickel Qualified Studies'!D20)</f>
        <v>Report</v>
      </c>
      <c r="L47" s="73" t="str">
        <f>IF(ISBLANK('[1]Nickel Qualified Studies'!E20),"",'[1]Nickel Qualified Studies'!E20)</f>
        <v>Laterite-Limonite (NC: HPAL): 28.97 [kg_CO2e/kg_Ni_in_NiSO₄·6H₂O]
Laterite-Limonite (ID: HPAL): 33.3 [kg_CO2e/kg_Ni_in_NiSO₄·6H₂O]
Laterite-Saperolite (ID: RKEF): 97.9 [kg_CO2e/kg_Ni_in_NiSO₄·6H₂O]</v>
      </c>
      <c r="M47" s="74" t="str">
        <f>IF(ISBLANK('[1]Nickel Qualified Studies'!F20),"",'[1]Nickel Qualified Studies'!F20)</f>
        <v>Laterite-Limonite (NC: HPAL): 10.9871622 [kg_CO2e/kg_NiSO4_anh]
Laterite-Limonite (ID: HPAL): 12.629358 [kg_CO2e/kg_NiSO4_anh]
Laterite-Saperolite (ID: RKEF): 37.129554 [kg_CO2e/kg_NiSO4_anh]</v>
      </c>
      <c r="N47" s="73" t="str">
        <f>IF(ISBLANK('[1]Nickel Qualified Studies'!G20),"",'[1]Nickel Qualified Studies'!G20)</f>
        <v>no</v>
      </c>
      <c r="O47" s="73" t="str">
        <f>IF(ISBLANK('[1]Nickel Qualified Studies'!H20),"",'[1]Nickel Qualified Studies'!H20)</f>
        <v>1 kg Ni in Nickel sulfate heptahydrate</v>
      </c>
      <c r="P47" s="73" t="str">
        <f>IF(ISBLANK('[1]Nickel Qualified Studies'!I20),"",'[1]Nickel Qualified Studies'!I20)</f>
        <v>unclear</v>
      </c>
      <c r="Q47" s="73" t="str">
        <f>IF(ISBLANK('[1]Nickel Qualified Studies'!J20),"",'[1]Nickel Qualified Studies'!J20)</f>
        <v>-- intransparent</v>
      </c>
      <c r="R47" s="73" t="str">
        <f>IF(ISBLANK('[1]Nickel Qualified Studies'!K20),"",'[1]Nickel Qualified Studies'!K20)</f>
        <v>Nickel sulfate</v>
      </c>
      <c r="S47" s="73" t="str">
        <f>IF(ISBLANK('[1]Nickel Qualified Studies'!L20),"",'[1]Nickel Qualified Studies'!L20)</f>
        <v>google search</v>
      </c>
      <c r="T47" s="73" t="str">
        <f>IF(ISBLANK('[1]Nickel Qualified Studies'!M20),"",'[1]Nickel Qualified Studies'!M20)</f>
        <v>Canada, China, Indonesia, New Caledonia, Russia</v>
      </c>
      <c r="U47" s="73" t="str">
        <f>IF(ISBLANK('[1]Nickel Qualified Studies'!N20),"",'[1]Nickel Qualified Studies'!N20)</f>
        <v>Not specified</v>
      </c>
      <c r="V47" s="79" t="b">
        <v>1</v>
      </c>
      <c r="W47" s="80"/>
    </row>
    <row r="48" spans="2:23" ht="57.6" x14ac:dyDescent="0.3">
      <c r="G48" s="1" t="str">
        <f>IF(H48="VDA Report","","ERROR - check row order of Notion export")</f>
        <v/>
      </c>
      <c r="H48" s="73" t="str">
        <f>IF(ISBLANK('[1]Nickel Qualified Studies'!A21),"",'[1]Nickel Qualified Studies'!A21)</f>
        <v>VDA Report</v>
      </c>
      <c r="I48" s="73" t="str">
        <f>IF(ISBLANK('[1]Nickel Qualified Studies'!B21),"",'[1]Nickel Qualified Studies'!B21)</f>
        <v>PRODUCT CARBON FOOTPRINT OF NICKEL
SULFATE HEXAHYDRATE PRODUCTION</v>
      </c>
      <c r="J48" s="73" t="str">
        <f>IF(ISBLANK('[1]Nickel Qualified Studies'!C21),"",'[1]Nickel Qualified Studies'!C21)</f>
        <v>https://26877240.fs1.hubspotusercontent-eu1.net/hubfs/26877240/Client%20Projects/VDA_Nickel_Sulfate_Hexahydrate_LCA_Report_2023.pdf</v>
      </c>
      <c r="K48" s="73" t="str">
        <f>IF(ISBLANK('[1]Nickel Qualified Studies'!D21),"",'[1]Nickel Qualified Studies'!D21)</f>
        <v>Report</v>
      </c>
      <c r="L48" s="73" t="str">
        <f>IF(ISBLANK('[1]Nickel Qualified Studies'!E21),"",'[1]Nickel Qualified Studies'!E21)</f>
        <v>Laterite-Limonite (ID: HPAL): 33.3 [kg_CO2e/kg_Ni_in_NiSO₄·6H₂O]
Laterite-Saperolite (ID: RKEF): 97.9 [kg_CO2e/kg_Ni_in_NiSO₄·6H₂O]</v>
      </c>
      <c r="M48" s="74" t="str">
        <f>IF(ISBLANK('[1]Nickel Qualified Studies'!F21),"",'[1]Nickel Qualified Studies'!F21)</f>
        <v>Laterite-Limonite (ID: HPAL): 12.629358 [kg_CO2e/kg_NiSO4_anh]_x000D_
Laterite-Saperolite (ID: RKEF): 37.129554 [kg_CO2e/kg_NiSO4_anh]</v>
      </c>
      <c r="N48" s="73" t="str">
        <f>IF(ISBLANK('[1]Nickel Qualified Studies'!G21),"",'[1]Nickel Qualified Studies'!G21)</f>
        <v>no</v>
      </c>
      <c r="O48" s="73" t="str">
        <f>IF(ISBLANK('[1]Nickel Qualified Studies'!H21),"",'[1]Nickel Qualified Studies'!H21)</f>
        <v>1 kg Ni in Nickel sulfate heptahydrate</v>
      </c>
      <c r="P48" s="73" t="str">
        <f>IF(ISBLANK('[1]Nickel Qualified Studies'!I21),"",'[1]Nickel Qualified Studies'!I21)</f>
        <v>see screenshot</v>
      </c>
      <c r="Q48" s="73" t="str">
        <f>IF(ISBLANK('[1]Nickel Qualified Studies'!J21),"",'[1]Nickel Qualified Studies'!J21)</f>
        <v>- intransparent</v>
      </c>
      <c r="R48" s="73" t="str">
        <f>IF(ISBLANK('[1]Nickel Qualified Studies'!K21),"",'[1]Nickel Qualified Studies'!K21)</f>
        <v>Nickel sulfate</v>
      </c>
      <c r="S48" s="73" t="str">
        <f>IF(ISBLANK('[1]Nickel Qualified Studies'!L21),"",'[1]Nickel Qualified Studies'!L21)</f>
        <v>google search</v>
      </c>
      <c r="T48" s="73" t="str">
        <f>IF(ISBLANK('[1]Nickel Qualified Studies'!M21),"",'[1]Nickel Qualified Studies'!M21)</f>
        <v>China, Indonesia</v>
      </c>
      <c r="U48" s="73" t="str">
        <f>IF(ISBLANK('[1]Nickel Qualified Studies'!N21),"",'[1]Nickel Qualified Studies'!N21)</f>
        <v>Not specified</v>
      </c>
      <c r="V48" s="79" t="b">
        <v>1</v>
      </c>
      <c r="W48" s="80"/>
    </row>
    <row r="49" spans="8:23" x14ac:dyDescent="0.3">
      <c r="H49" s="73" t="str">
        <f>IF(ISBLANK('[1]Nickel Qualified Studies'!A22),"",'[1]Nickel Qualified Studies'!A22)</f>
        <v/>
      </c>
      <c r="I49" s="73" t="str">
        <f>IF(ISBLANK('[1]Nickel Qualified Studies'!B22),"",'[1]Nickel Qualified Studies'!B22)</f>
        <v/>
      </c>
      <c r="J49" s="73" t="str">
        <f>IF(ISBLANK('[1]Nickel Qualified Studies'!C22),"",'[1]Nickel Qualified Studies'!C22)</f>
        <v/>
      </c>
      <c r="K49" s="73" t="str">
        <f>IF(ISBLANK('[1]Nickel Qualified Studies'!D22),"",'[1]Nickel Qualified Studies'!D22)</f>
        <v/>
      </c>
      <c r="L49" s="73" t="str">
        <f>IF(ISBLANK('[1]Nickel Qualified Studies'!E22),"",'[1]Nickel Qualified Studies'!E22)</f>
        <v/>
      </c>
      <c r="M49" s="74" t="str">
        <f>IF(ISBLANK('[1]Nickel Qualified Studies'!F22),"",'[1]Nickel Qualified Studies'!F22)</f>
        <v/>
      </c>
      <c r="N49" s="73" t="str">
        <f>IF(ISBLANK('[1]Nickel Qualified Studies'!G22),"",'[1]Nickel Qualified Studies'!G22)</f>
        <v/>
      </c>
      <c r="O49" s="73" t="str">
        <f>IF(ISBLANK('[1]Nickel Qualified Studies'!H22),"",'[1]Nickel Qualified Studies'!H22)</f>
        <v/>
      </c>
      <c r="P49" s="73" t="str">
        <f>IF(ISBLANK('[1]Nickel Qualified Studies'!I22),"",'[1]Nickel Qualified Studies'!I22)</f>
        <v/>
      </c>
      <c r="Q49" s="73" t="str">
        <f>IF(ISBLANK('[1]Nickel Qualified Studies'!J22),"",'[1]Nickel Qualified Studies'!J22)</f>
        <v/>
      </c>
      <c r="R49" s="73" t="str">
        <f>IF(ISBLANK('[1]Nickel Qualified Studies'!K22),"",'[1]Nickel Qualified Studies'!K22)</f>
        <v/>
      </c>
      <c r="S49" s="73" t="str">
        <f>IF(ISBLANK('[1]Nickel Qualified Studies'!L22),"",'[1]Nickel Qualified Studies'!L22)</f>
        <v/>
      </c>
      <c r="T49" s="73" t="str">
        <f>IF(ISBLANK('[1]Nickel Qualified Studies'!M22),"",'[1]Nickel Qualified Studies'!M22)</f>
        <v/>
      </c>
      <c r="U49" s="73" t="str">
        <f>IF(ISBLANK('[1]Nickel Qualified Studies'!N22),"",'[1]Nickel Qualified Studies'!N22)</f>
        <v/>
      </c>
      <c r="V49" s="80"/>
      <c r="W49" s="80"/>
    </row>
    <row r="50" spans="8:23" x14ac:dyDescent="0.3">
      <c r="H50" s="73" t="str">
        <f>IF(ISBLANK('[1]Nickel Qualified Studies'!A23),"",'[1]Nickel Qualified Studies'!A23)</f>
        <v/>
      </c>
      <c r="I50" s="73" t="str">
        <f>IF(ISBLANK('[1]Nickel Qualified Studies'!B23),"",'[1]Nickel Qualified Studies'!B23)</f>
        <v/>
      </c>
      <c r="J50" s="73" t="str">
        <f>IF(ISBLANK('[1]Nickel Qualified Studies'!C23),"",'[1]Nickel Qualified Studies'!C23)</f>
        <v/>
      </c>
      <c r="K50" s="73" t="str">
        <f>IF(ISBLANK('[1]Nickel Qualified Studies'!D23),"",'[1]Nickel Qualified Studies'!D23)</f>
        <v/>
      </c>
      <c r="L50" s="73" t="str">
        <f>IF(ISBLANK('[1]Nickel Qualified Studies'!E23),"",'[1]Nickel Qualified Studies'!E23)</f>
        <v/>
      </c>
      <c r="M50" s="73" t="str">
        <f>IF(ISBLANK('[1]Nickel Qualified Studies'!F23),"",'[1]Nickel Qualified Studies'!F23)</f>
        <v/>
      </c>
      <c r="N50" s="73" t="str">
        <f>IF(ISBLANK('[1]Nickel Qualified Studies'!G23),"",'[1]Nickel Qualified Studies'!G23)</f>
        <v/>
      </c>
      <c r="O50" s="73" t="str">
        <f>IF(ISBLANK('[1]Nickel Qualified Studies'!H23),"",'[1]Nickel Qualified Studies'!H23)</f>
        <v/>
      </c>
      <c r="P50" s="73" t="str">
        <f>IF(ISBLANK('[1]Nickel Qualified Studies'!I23),"",'[1]Nickel Qualified Studies'!I23)</f>
        <v/>
      </c>
      <c r="Q50" s="73" t="str">
        <f>IF(ISBLANK('[1]Nickel Qualified Studies'!J23),"",'[1]Nickel Qualified Studies'!J23)</f>
        <v/>
      </c>
      <c r="R50" s="73" t="str">
        <f>IF(ISBLANK('[1]Nickel Qualified Studies'!K23),"",'[1]Nickel Qualified Studies'!K23)</f>
        <v/>
      </c>
      <c r="S50" s="73" t="str">
        <f>IF(ISBLANK('[1]Nickel Qualified Studies'!L23),"",'[1]Nickel Qualified Studies'!L23)</f>
        <v/>
      </c>
      <c r="T50" s="73" t="str">
        <f>IF(ISBLANK('[1]Nickel Qualified Studies'!M23),"",'[1]Nickel Qualified Studies'!M23)</f>
        <v/>
      </c>
      <c r="U50" s="73" t="str">
        <f>IF(ISBLANK('[1]Nickel Qualified Studies'!N23),"",'[1]Nickel Qualified Studies'!N23)</f>
        <v/>
      </c>
      <c r="V50" s="80"/>
      <c r="W50" s="80"/>
    </row>
    <row r="51" spans="8:23" x14ac:dyDescent="0.3">
      <c r="H51" s="1"/>
      <c r="I51" s="1"/>
      <c r="J51" s="1"/>
      <c r="K51" s="1"/>
      <c r="L51" s="1"/>
      <c r="M51" s="1"/>
      <c r="N51" s="1"/>
      <c r="O51" s="1"/>
      <c r="P51" s="1"/>
      <c r="Q51" s="1"/>
      <c r="R51" s="1"/>
      <c r="S51" s="1"/>
      <c r="T51" s="1"/>
      <c r="U51" s="1"/>
      <c r="V51" s="1"/>
      <c r="W51" s="1"/>
    </row>
  </sheetData>
  <mergeCells count="3">
    <mergeCell ref="H27:U27"/>
    <mergeCell ref="V27:W27"/>
    <mergeCell ref="A1:F1"/>
  </mergeCells>
  <conditionalFormatting sqref="G1:G1048576">
    <cfRule type="containsText" dxfId="9" priority="2" operator="containsText" text="ERROR">
      <formula>NOT(ISERROR(SEARCH("ERROR",G1)))</formula>
    </cfRule>
  </conditionalFormatting>
  <conditionalFormatting sqref="H51:W51">
    <cfRule type="containsText" dxfId="8" priority="1" operator="containsText" text="ERROR">
      <formula>NOT(ISERROR(SEARCH("ERROR",H51)))</formula>
    </cfRule>
  </conditionalFormatting>
  <pageMargins left="0.7" right="0.7" top="0.78740157499999996" bottom="0.78740157499999996"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CF63-726F-4943-849C-C04902C9FAAA}">
  <dimension ref="A1:Z51"/>
  <sheetViews>
    <sheetView zoomScale="65" zoomScaleNormal="40" workbookViewId="0">
      <selection sqref="A1:F1"/>
    </sheetView>
  </sheetViews>
  <sheetFormatPr defaultColWidth="10.6640625" defaultRowHeight="14.4" x14ac:dyDescent="0.3"/>
  <cols>
    <col min="1" max="1" width="30.21875" style="45" customWidth="1"/>
    <col min="2" max="2" width="18.109375" style="45" customWidth="1"/>
    <col min="3" max="3" width="16.88671875" style="45" customWidth="1"/>
    <col min="4" max="4" width="16.21875" style="45" customWidth="1"/>
    <col min="5" max="5" width="29.109375" style="6" customWidth="1"/>
    <col min="6" max="6" width="28.5546875" style="6" customWidth="1"/>
    <col min="7" max="7" width="9.109375" style="1" customWidth="1"/>
    <col min="8" max="8" width="29.44140625" style="6" customWidth="1"/>
    <col min="9" max="12" width="10.6640625" style="6"/>
    <col min="13" max="13" width="30.109375" style="6" customWidth="1"/>
    <col min="14" max="21" width="10.6640625" style="6"/>
    <col min="22" max="22" width="13" style="6" customWidth="1"/>
    <col min="23" max="23" width="20.44140625" style="6" customWidth="1"/>
    <col min="24" max="16384" width="10.6640625" style="6"/>
  </cols>
  <sheetData>
    <row r="1" spans="1:10" x14ac:dyDescent="0.3">
      <c r="A1" s="85" t="s">
        <v>107</v>
      </c>
      <c r="B1" s="85"/>
      <c r="C1" s="85"/>
      <c r="D1" s="85"/>
      <c r="E1" s="85"/>
      <c r="F1" s="85"/>
    </row>
    <row r="2" spans="1:10" ht="19.05" customHeight="1" x14ac:dyDescent="0.3">
      <c r="A2" s="2" t="s">
        <v>33</v>
      </c>
      <c r="B2" s="2" t="s">
        <v>22</v>
      </c>
      <c r="C2" s="2" t="s">
        <v>6</v>
      </c>
      <c r="D2" s="2" t="s">
        <v>31</v>
      </c>
      <c r="E2" s="2" t="s">
        <v>10</v>
      </c>
      <c r="F2" s="2" t="s">
        <v>140</v>
      </c>
      <c r="G2" s="1" t="s">
        <v>35</v>
      </c>
    </row>
    <row r="3" spans="1:10" ht="28.8" x14ac:dyDescent="0.3">
      <c r="A3" s="14" t="s">
        <v>681</v>
      </c>
      <c r="B3" s="18">
        <v>0</v>
      </c>
      <c r="C3" s="18">
        <v>0</v>
      </c>
      <c r="D3" s="18">
        <v>0</v>
      </c>
      <c r="E3" s="18">
        <v>37.129553999999999</v>
      </c>
      <c r="F3" s="18">
        <f>SUM(B3:E3)</f>
        <v>37.129553999999999</v>
      </c>
      <c r="G3" s="1" t="s">
        <v>35</v>
      </c>
    </row>
    <row r="4" spans="1:10" ht="28.8" x14ac:dyDescent="0.3">
      <c r="A4" s="14" t="s">
        <v>682</v>
      </c>
      <c r="B4" s="18">
        <v>0</v>
      </c>
      <c r="C4" s="18">
        <v>0</v>
      </c>
      <c r="D4" s="18">
        <v>0</v>
      </c>
      <c r="E4" s="18">
        <v>37.15</v>
      </c>
      <c r="F4" s="18">
        <f>SUM(B4:E4)</f>
        <v>37.15</v>
      </c>
      <c r="G4" s="1" t="s">
        <v>35</v>
      </c>
    </row>
    <row r="5" spans="1:10" x14ac:dyDescent="0.3">
      <c r="A5" s="14"/>
      <c r="B5" s="14"/>
      <c r="C5" s="14"/>
      <c r="D5" s="14"/>
      <c r="E5" s="14"/>
      <c r="F5" s="14"/>
      <c r="G5" s="1" t="s">
        <v>35</v>
      </c>
    </row>
    <row r="6" spans="1:10" x14ac:dyDescent="0.3">
      <c r="A6" s="14"/>
      <c r="B6" s="18"/>
      <c r="C6" s="18"/>
      <c r="D6" s="18"/>
      <c r="E6" s="18"/>
      <c r="F6" s="18"/>
      <c r="G6" s="1" t="s">
        <v>35</v>
      </c>
      <c r="J6" s="1"/>
    </row>
    <row r="7" spans="1:10" x14ac:dyDescent="0.3">
      <c r="A7" s="14"/>
      <c r="B7" s="18"/>
      <c r="C7" s="18"/>
      <c r="D7" s="18"/>
      <c r="E7" s="18"/>
      <c r="F7" s="18"/>
      <c r="G7" s="1" t="s">
        <v>35</v>
      </c>
    </row>
    <row r="8" spans="1:10" x14ac:dyDescent="0.3">
      <c r="A8" s="14"/>
      <c r="B8" s="18"/>
      <c r="C8" s="18"/>
      <c r="D8" s="18"/>
      <c r="E8" s="18"/>
      <c r="F8" s="18"/>
      <c r="G8" s="1" t="s">
        <v>35</v>
      </c>
    </row>
    <row r="9" spans="1:10" x14ac:dyDescent="0.3">
      <c r="A9" s="14"/>
      <c r="B9" s="18"/>
      <c r="C9" s="18"/>
      <c r="D9" s="18"/>
      <c r="E9" s="18"/>
      <c r="F9" s="18"/>
      <c r="G9" s="1" t="s">
        <v>35</v>
      </c>
    </row>
    <row r="10" spans="1:10" x14ac:dyDescent="0.3">
      <c r="A10" s="28"/>
      <c r="B10" s="50"/>
      <c r="C10" s="50"/>
      <c r="D10" s="50"/>
      <c r="E10" s="50"/>
      <c r="F10" s="50"/>
      <c r="G10" s="1" t="s">
        <v>35</v>
      </c>
    </row>
    <row r="11" spans="1:10" x14ac:dyDescent="0.3">
      <c r="A11" s="28"/>
      <c r="B11" s="28"/>
      <c r="C11" s="28"/>
      <c r="D11" s="28"/>
      <c r="E11" s="14"/>
      <c r="F11" s="14"/>
      <c r="G11" s="1" t="s">
        <v>35</v>
      </c>
    </row>
    <row r="12" spans="1:10" x14ac:dyDescent="0.3">
      <c r="A12" s="28"/>
      <c r="B12" s="28"/>
      <c r="C12" s="28"/>
      <c r="D12" s="28"/>
      <c r="E12" s="14"/>
      <c r="F12" s="14"/>
      <c r="G12" s="1" t="s">
        <v>35</v>
      </c>
    </row>
    <row r="13" spans="1:10" x14ac:dyDescent="0.3">
      <c r="A13" s="28"/>
      <c r="B13" s="28"/>
      <c r="C13" s="28"/>
      <c r="D13" s="28"/>
      <c r="E13" s="14"/>
      <c r="F13" s="14"/>
      <c r="G13" s="1" t="s">
        <v>35</v>
      </c>
    </row>
    <row r="14" spans="1:10" x14ac:dyDescent="0.3">
      <c r="A14" s="28"/>
      <c r="B14" s="28"/>
      <c r="C14" s="28"/>
      <c r="D14" s="28"/>
      <c r="E14" s="14"/>
      <c r="F14" s="14"/>
      <c r="G14" s="1" t="s">
        <v>35</v>
      </c>
    </row>
    <row r="15" spans="1:10" x14ac:dyDescent="0.3">
      <c r="A15" s="28"/>
      <c r="B15" s="28"/>
      <c r="C15" s="28"/>
      <c r="D15" s="28"/>
      <c r="E15" s="14"/>
      <c r="F15" s="14"/>
      <c r="G15" s="1" t="s">
        <v>35</v>
      </c>
    </row>
    <row r="16" spans="1:10" x14ac:dyDescent="0.3">
      <c r="A16" s="28"/>
      <c r="B16" s="28"/>
      <c r="C16" s="28"/>
      <c r="D16" s="28"/>
      <c r="E16" s="14"/>
      <c r="F16" s="14"/>
      <c r="G16" s="1" t="s">
        <v>35</v>
      </c>
    </row>
    <row r="17" spans="1:26" x14ac:dyDescent="0.3">
      <c r="A17" s="28"/>
      <c r="B17" s="28"/>
      <c r="C17" s="28"/>
      <c r="D17" s="28"/>
      <c r="E17" s="14"/>
      <c r="F17" s="14"/>
      <c r="G17" s="1" t="s">
        <v>35</v>
      </c>
    </row>
    <row r="18" spans="1:26" x14ac:dyDescent="0.3">
      <c r="A18" s="28"/>
      <c r="B18" s="28"/>
      <c r="C18" s="28"/>
      <c r="D18" s="28"/>
      <c r="E18" s="14"/>
      <c r="F18" s="14"/>
      <c r="G18" s="1" t="s">
        <v>35</v>
      </c>
    </row>
    <row r="19" spans="1:26" x14ac:dyDescent="0.3">
      <c r="A19" s="28"/>
      <c r="B19" s="28"/>
      <c r="C19" s="28"/>
      <c r="D19" s="28"/>
      <c r="E19" s="14"/>
      <c r="F19" s="14"/>
    </row>
    <row r="20" spans="1:26" x14ac:dyDescent="0.3">
      <c r="A20" s="28"/>
      <c r="B20" s="28"/>
      <c r="C20" s="28"/>
      <c r="D20" s="28"/>
      <c r="E20" s="14"/>
      <c r="F20" s="14"/>
    </row>
    <row r="21" spans="1:26" x14ac:dyDescent="0.3">
      <c r="A21" s="28"/>
      <c r="B21" s="28"/>
      <c r="C21" s="28"/>
      <c r="D21" s="28"/>
      <c r="E21" s="14"/>
      <c r="F21" s="14"/>
    </row>
    <row r="22" spans="1:26" x14ac:dyDescent="0.3">
      <c r="A22" s="28"/>
      <c r="B22" s="28"/>
      <c r="C22" s="28"/>
      <c r="D22" s="28"/>
      <c r="E22" s="14"/>
      <c r="F22" s="14"/>
    </row>
    <row r="23" spans="1:26" x14ac:dyDescent="0.3">
      <c r="A23" s="28"/>
      <c r="B23" s="28"/>
      <c r="C23" s="28"/>
      <c r="D23" s="28"/>
      <c r="E23" s="14"/>
      <c r="F23" s="14"/>
    </row>
    <row r="24" spans="1:26" ht="15" customHeight="1" x14ac:dyDescent="0.3">
      <c r="A24" s="28"/>
      <c r="B24" s="28"/>
      <c r="C24" s="28"/>
      <c r="D24" s="28"/>
      <c r="E24" s="14"/>
      <c r="F24" s="14"/>
    </row>
    <row r="25" spans="1:26" ht="15" customHeight="1" x14ac:dyDescent="0.3">
      <c r="A25" s="28"/>
      <c r="B25" s="28"/>
      <c r="C25" s="28"/>
      <c r="D25" s="28"/>
      <c r="E25" s="14"/>
      <c r="F25" s="14"/>
    </row>
    <row r="26" spans="1:26" ht="15" customHeight="1" x14ac:dyDescent="0.3"/>
    <row r="27" spans="1:26" x14ac:dyDescent="0.3">
      <c r="E27" s="45"/>
      <c r="F27" s="45"/>
      <c r="H27" s="86" t="s">
        <v>151</v>
      </c>
      <c r="I27" s="86"/>
      <c r="J27" s="86"/>
      <c r="K27" s="86"/>
      <c r="L27" s="86"/>
      <c r="M27" s="86"/>
      <c r="N27" s="86"/>
      <c r="O27" s="86"/>
      <c r="P27" s="86"/>
      <c r="Q27" s="86"/>
      <c r="R27" s="86"/>
      <c r="S27" s="86"/>
      <c r="T27" s="86"/>
      <c r="U27" s="86"/>
      <c r="V27" s="87" t="s">
        <v>152</v>
      </c>
      <c r="W27" s="87"/>
      <c r="X27" s="35"/>
      <c r="Y27" s="35"/>
      <c r="Z27" s="35"/>
    </row>
    <row r="28" spans="1:26" ht="28.8" x14ac:dyDescent="0.3">
      <c r="E28" s="45"/>
      <c r="F28" s="45"/>
      <c r="H28" s="73" t="str">
        <f>IF(ISBLANK('[1]Nickel Qualified Studies'!A1),"",'[1]Nickel Qualified Studies'!A1)</f>
        <v>Source</v>
      </c>
      <c r="I28" s="73" t="str">
        <f>IF(ISBLANK('[1]Nickel Qualified Studies'!B1),"",'[1]Nickel Qualified Studies'!B1)</f>
        <v>Title</v>
      </c>
      <c r="J28" s="73" t="str">
        <f>IF(ISBLANK('[1]Nickel Qualified Studies'!C1),"",'[1]Nickel Qualified Studies'!C1)</f>
        <v>Link</v>
      </c>
      <c r="K28" s="73" t="str">
        <f>IF(ISBLANK('[1]Nickel Qualified Studies'!D1),"",'[1]Nickel Qualified Studies'!D1)</f>
        <v>Source type</v>
      </c>
      <c r="L28" s="73" t="str">
        <f>IF(ISBLANK('[1]Nickel Qualified Studies'!E1),"",'[1]Nickel Qualified Studies'!E1)</f>
        <v>Total emissions [kgCO2eq/kg]</v>
      </c>
      <c r="M28" s="74" t="str">
        <f>IF(ISBLANK('[1]Nickel Qualified Studies'!F1),"",'[1]Nickel Qualified Studies'!F1)</f>
        <v>Harmonised emissions [kg_CO2eq/kg_NiSO4_anhydrous]</v>
      </c>
      <c r="N28" s="73" t="str">
        <f>IF(ISBLANK('[1]Nickel Qualified Studies'!G1),"",'[1]Nickel Qualified Studies'!G1)</f>
        <v>Primary data?</v>
      </c>
      <c r="O28" s="73" t="str">
        <f>IF(ISBLANK('[1]Nickel Qualified Studies'!H1),"",'[1]Nickel Qualified Studies'!H1)</f>
        <v>Functional unit?</v>
      </c>
      <c r="P28" s="73" t="str">
        <f>IF(ISBLANK('[1]Nickel Qualified Studies'!I1),"",'[1]Nickel Qualified Studies'!I1)</f>
        <v>System boundaries</v>
      </c>
      <c r="Q28" s="73" t="str">
        <f>IF(ISBLANK('[1]Nickel Qualified Studies'!J1),"",'[1]Nickel Qualified Studies'!J1)</f>
        <v>Methodological transparency</v>
      </c>
      <c r="R28" s="73" t="str">
        <f>IF(ISBLANK('[1]Nickel Qualified Studies'!K1),"",'[1]Nickel Qualified Studies'!K1)</f>
        <v>Process / ore type?</v>
      </c>
      <c r="S28" s="73" t="str">
        <f>IF(ISBLANK('[1]Nickel Qualified Studies'!L1),"",'[1]Nickel Qualified Studies'!L1)</f>
        <v>Found via</v>
      </c>
      <c r="T28" s="73" t="str">
        <f>IF(ISBLANK('[1]Nickel Qualified Studies'!M1),"",'[1]Nickel Qualified Studies'!M1)</f>
        <v>Location of production</v>
      </c>
      <c r="U28" s="73" t="str">
        <f>IF(ISBLANK('[1]Nickel Qualified Studies'!N1),"",'[1]Nickel Qualified Studies'!N1)</f>
        <v>Mine</v>
      </c>
      <c r="V28" s="75" t="s">
        <v>110</v>
      </c>
      <c r="W28" s="76" t="s">
        <v>143</v>
      </c>
    </row>
    <row r="29" spans="1:26" ht="28.8" x14ac:dyDescent="0.3">
      <c r="B29" s="1"/>
      <c r="C29" s="1"/>
      <c r="D29" s="1"/>
      <c r="E29" s="1"/>
      <c r="F29" s="1"/>
      <c r="G29" s="1" t="str">
        <f>IF(H29="Nickel Institute (2021)","","ERROR - check row order of Notion export")</f>
        <v/>
      </c>
      <c r="H29" s="73" t="str">
        <f>IF(ISBLANK('[1]Nickel Qualified Studies'!A2),"",'[1]Nickel Qualified Studies'!A2)</f>
        <v>Nickel Institute (2021)</v>
      </c>
      <c r="I29" s="73" t="str">
        <f>IF(ISBLANK('[1]Nickel Qualified Studies'!B2),"",'[1]Nickel Qualified Studies'!B2)</f>
        <v>Nickel sulphate life cycle data</v>
      </c>
      <c r="J29" s="73" t="str">
        <f>IF(ISBLANK('[1]Nickel Qualified Studies'!C2),"",'[1]Nickel Qualified Studies'!C2)</f>
        <v>https://nickelinstitute.org/en/policy/nickel-life-cycle-management/nickel-life-cycle-data/</v>
      </c>
      <c r="K29" s="73" t="str">
        <f>IF(ISBLANK('[1]Nickel Qualified Studies'!D2),"",'[1]Nickel Qualified Studies'!D2)</f>
        <v>Report</v>
      </c>
      <c r="L29" s="73" t="str">
        <f>IF(ISBLANK('[1]Nickel Qualified Studies'!E2),"",'[1]Nickel Qualified Studies'!E2)</f>
        <v>4 kg CO2eq/ kg NiSO4.6(H2O) (22% of Ni content)</v>
      </c>
      <c r="M29" s="74" t="str">
        <f>IF(ISBLANK('[1]Nickel Qualified Studies'!F2),"",'[1]Nickel Qualified Studies'!F2)</f>
        <v xml:space="preserve">6.79393 kg_CO2e/kg_NiSO4_anh
</v>
      </c>
      <c r="N29" s="73" t="str">
        <f>IF(ISBLANK('[1]Nickel Qualified Studies'!G2),"",'[1]Nickel Qualified Studies'!G2)</f>
        <v>yes ⇒ data from 24 production sites from nine Nickel Institute member companies https://nickelinstitute.org/policy/nickel-life-cycle-management/nickel-life-cycle-data/</v>
      </c>
      <c r="O29" s="73" t="str">
        <f>IF(ISBLANK('[1]Nickel Qualified Studies'!H2),"",'[1]Nickel Qualified Studies'!H2)</f>
        <v>kg NiSO4.6(H2O)</v>
      </c>
      <c r="P29" s="73" t="str">
        <f>IF(ISBLANK('[1]Nickel Qualified Studies'!I2),"",'[1]Nickel Qualified Studies'!I2)</f>
        <v>probably from ore extraction to nickel sulphate production</v>
      </c>
      <c r="Q29" s="73" t="str">
        <f>IF(ISBLANK('[1]Nickel Qualified Studies'!J2),"",'[1]Nickel Qualified Studies'!J2)</f>
        <v>+ transparent, ++ transparent</v>
      </c>
      <c r="R29" s="73" t="str">
        <f>IF(ISBLANK('[1]Nickel Qualified Studies'!K2),"",'[1]Nickel Qualified Studies'!K2)</f>
        <v>Nickel sulfate</v>
      </c>
      <c r="S29" s="73" t="str">
        <f>IF(ISBLANK('[1]Nickel Qualified Studies'!L2),"",'[1]Nickel Qualified Studies'!L2)</f>
        <v>google search</v>
      </c>
      <c r="T29" s="73" t="str">
        <f>IF(ISBLANK('[1]Nickel Qualified Studies'!M2),"",'[1]Nickel Qualified Studies'!M2)</f>
        <v>Global</v>
      </c>
      <c r="U29" s="73" t="str">
        <f>IF(ISBLANK('[1]Nickel Qualified Studies'!N2),"",'[1]Nickel Qualified Studies'!N2)</f>
        <v/>
      </c>
      <c r="V29" s="77" t="b">
        <v>0</v>
      </c>
      <c r="W29" s="78" t="s">
        <v>685</v>
      </c>
    </row>
    <row r="30" spans="1:26" ht="19.05" customHeight="1" x14ac:dyDescent="0.3">
      <c r="B30" s="6"/>
      <c r="C30" s="6"/>
      <c r="D30" s="6"/>
      <c r="G30" s="1" t="str">
        <f>IF(H30="Wei et al (2020)","","ERROR - check row order of Notion export")</f>
        <v/>
      </c>
      <c r="H30" s="73" t="str">
        <f>IF(ISBLANK('[1]Nickel Qualified Studies'!A3),"",'[1]Nickel Qualified Studies'!A3)</f>
        <v>Wei et al (2020)</v>
      </c>
      <c r="I30" s="73" t="str">
        <f>IF(ISBLANK('[1]Nickel Qualified Studies'!B3),"",'[1]Nickel Qualified Studies'!B3)</f>
        <v>Energy Consumption and Greenhouse Gas Emissions of Nickel Products</v>
      </c>
      <c r="J30" s="73" t="str">
        <f>IF(ISBLANK('[1]Nickel Qualified Studies'!C3),"",'[1]Nickel Qualified Studies'!C3)</f>
        <v>https://www.mdpi.com/1996-1073/13/21/5664</v>
      </c>
      <c r="K30" s="73" t="str">
        <f>IF(ISBLANK('[1]Nickel Qualified Studies'!D3),"",'[1]Nickel Qualified Studies'!D3)</f>
        <v>Literature</v>
      </c>
      <c r="L30" s="73" t="str">
        <f>IF(ISBLANK('[1]Nickel Qualified Studies'!E3),"",'[1]Nickel Qualified Studies'!E3)</f>
        <v xml:space="preserve">Sulfide ore: 
required production energy: 174 GJ/t alloy (Ni metal = 100%Ni)
associated GHG emissions: 14 tCO2-eq/t alloy (alloy = Ni metal)
</v>
      </c>
      <c r="M30" s="74" t="str">
        <f>IF(ISBLANK('[1]Nickel Qualified Studies'!F3),"",'[1]Nickel Qualified Studies'!F3)</f>
        <v>6.182178371 kg_CO2e/kg_NiSO4_anh</v>
      </c>
      <c r="N30" s="73" t="str">
        <f>IF(ISBLANK('[1]Nickel Qualified Studies'!G3),"",'[1]Nickel Qualified Studies'!G3)</f>
        <v>probably no</v>
      </c>
      <c r="O30" s="73" t="str">
        <f>IF(ISBLANK('[1]Nickel Qualified Studies'!H3),"",'[1]Nickel Qualified Studies'!H3)</f>
        <v>one ton of nickel alloy product
alloy in our case = Ni metal (=100%Ni)</v>
      </c>
      <c r="P30" s="73" t="str">
        <f>IF(ISBLANK('[1]Nickel Qualified Studies'!I3),"",'[1]Nickel Qualified Studies'!I3)</f>
        <v>see Chapter 3.1 ⇒ system boundary includes the mining, pre-processing (beneficiation, drying, calcination, sulfidation, sintering), smelting, post-processing settling, converting, refining, roasting)</v>
      </c>
      <c r="Q30" s="73" t="str">
        <f>IF(ISBLANK('[1]Nickel Qualified Studies'!J3),"",'[1]Nickel Qualified Studies'!J3)</f>
        <v>+ transparent, - intransparent</v>
      </c>
      <c r="R30" s="73" t="str">
        <f>IF(ISBLANK('[1]Nickel Qualified Studies'!K3),"",'[1]Nickel Qualified Studies'!K3)</f>
        <v>Nickel class I</v>
      </c>
      <c r="S30" s="73" t="str">
        <f>IF(ISBLANK('[1]Nickel Qualified Studies'!L3),"",'[1]Nickel Qualified Studies'!L3)</f>
        <v>systematic lit rev</v>
      </c>
      <c r="T30" s="73" t="str">
        <f>IF(ISBLANK('[1]Nickel Qualified Studies'!M3),"",'[1]Nickel Qualified Studies'!M3)</f>
        <v>Australia</v>
      </c>
      <c r="U30" s="73" t="str">
        <f>IF(ISBLANK('[1]Nickel Qualified Studies'!N3),"",'[1]Nickel Qualified Studies'!N3)</f>
        <v/>
      </c>
      <c r="V30" s="77" t="b">
        <v>0</v>
      </c>
      <c r="W30" s="78" t="s">
        <v>685</v>
      </c>
    </row>
    <row r="31" spans="1:26" ht="85.5" customHeight="1" x14ac:dyDescent="0.3">
      <c r="B31" s="6"/>
      <c r="C31" s="6"/>
      <c r="D31" s="6"/>
      <c r="G31" s="1" t="str">
        <f>IF(H31="Norgate &amp; Rankin (2000)","","ERROR - check row order of Notion export")</f>
        <v/>
      </c>
      <c r="H31" s="73" t="str">
        <f>IF(ISBLANK('[1]Nickel Qualified Studies'!A4),"",'[1]Nickel Qualified Studies'!A4)</f>
        <v>Norgate &amp; Rankin (2000)</v>
      </c>
      <c r="I31" s="73" t="str">
        <f>IF(ISBLANK('[1]Nickel Qualified Studies'!B4),"",'[1]Nickel Qualified Studies'!B4)</f>
        <v>Life cycle assessment of copper and nickel production</v>
      </c>
      <c r="J31" s="73" t="str">
        <f>IF(ISBLANK('[1]Nickel Qualified Studies'!C4),"",'[1]Nickel Qualified Studies'!C4)</f>
        <v>https://www.researchgate.net/publication/279666598_Life_cycle_assessment_of_copper_and_nickel_production</v>
      </c>
      <c r="K31" s="73" t="str">
        <f>IF(ISBLANK('[1]Nickel Qualified Studies'!D4),"",'[1]Nickel Qualified Studies'!D4)</f>
        <v>Literature</v>
      </c>
      <c r="L31" s="73" t="str">
        <f>IF(ISBLANK('[1]Nickel Qualified Studies'!E4),"",'[1]Nickel Qualified Studies'!E4)</f>
        <v>sulfide ores (flash furnace smelting and Sheritt-Gordon refining)
- total energy: 114 MJ/kg
- GWP: 11.4 kg CO2eq/kg
laterite ores (pressure acid leaching and solvent extraction (SX)/electrowinning (EW))
- total energy: 194 MJ/kg
- GWP: 16.1 kg CO2eq/kg</v>
      </c>
      <c r="M31" s="74" t="str">
        <f>IF(ISBLANK('[1]Nickel Qualified Studies'!F4),"",'[1]Nickel Qualified Studies'!F4)</f>
        <v>Sulph: 5.144152447 kg_CO2e/kg_NiSO4_anh
Lat: 7.020583925 kg_CO2e/kg_NiSO4_anh</v>
      </c>
      <c r="N31" s="73" t="str">
        <f>IF(ISBLANK('[1]Nickel Qualified Studies'!G4),"",'[1]Nickel Qualified Studies'!G4)</f>
        <v>no</v>
      </c>
      <c r="O31" s="73" t="str">
        <f>IF(ISBLANK('[1]Nickel Qualified Studies'!H4),"",'[1]Nickel Qualified Studies'!H4)</f>
        <v>kg Ni metal</v>
      </c>
      <c r="P31" s="73" t="str">
        <f>IF(ISBLANK('[1]Nickel Qualified Studies'!I4),"",'[1]Nickel Qualified Studies'!I4)</f>
        <v>from cradle to end of refining</v>
      </c>
      <c r="Q31" s="73" t="str">
        <f>IF(ISBLANK('[1]Nickel Qualified Studies'!J4),"",'[1]Nickel Qualified Studies'!J4)</f>
        <v>- intransparent</v>
      </c>
      <c r="R31" s="73" t="str">
        <f>IF(ISBLANK('[1]Nickel Qualified Studies'!K4),"",'[1]Nickel Qualified Studies'!K4)</f>
        <v>Nickel class I</v>
      </c>
      <c r="S31" s="73" t="str">
        <f>IF(ISBLANK('[1]Nickel Qualified Studies'!L4),"",'[1]Nickel Qualified Studies'!L4)</f>
        <v>backward citation</v>
      </c>
      <c r="T31" s="73" t="str">
        <f>IF(ISBLANK('[1]Nickel Qualified Studies'!M4),"",'[1]Nickel Qualified Studies'!M4)</f>
        <v>Unclear</v>
      </c>
      <c r="U31" s="73" t="str">
        <f>IF(ISBLANK('[1]Nickel Qualified Studies'!N4),"",'[1]Nickel Qualified Studies'!N4)</f>
        <v/>
      </c>
      <c r="V31" s="77" t="b">
        <v>0</v>
      </c>
      <c r="W31" s="78" t="s">
        <v>685</v>
      </c>
    </row>
    <row r="32" spans="1:26" ht="28.8" x14ac:dyDescent="0.3">
      <c r="B32" s="1"/>
      <c r="C32" s="1"/>
      <c r="D32" s="1"/>
      <c r="E32" s="1"/>
      <c r="F32" s="1"/>
      <c r="G32" s="1" t="str">
        <f>IF(H32="Deng &amp; Gong (2018)","","ERROR - check row order of Notion export")</f>
        <v/>
      </c>
      <c r="H32" s="73" t="str">
        <f>IF(ISBLANK('[1]Nickel Qualified Studies'!A5),"",'[1]Nickel Qualified Studies'!A5)</f>
        <v>Deng &amp; Gong (2018)</v>
      </c>
      <c r="I32" s="73" t="str">
        <f>IF(ISBLANK('[1]Nickel Qualified Studies'!B5),"",'[1]Nickel Qualified Studies'!B5)</f>
        <v>Life Cycle Assessment of Nickel Production in China</v>
      </c>
      <c r="J32" s="73" t="str">
        <f>IF(ISBLANK('[1]Nickel Qualified Studies'!C5),"",'[1]Nickel Qualified Studies'!C5)</f>
        <v>https://www.scientific.net/MSF.913.1004</v>
      </c>
      <c r="K32" s="73" t="str">
        <f>IF(ISBLANK('[1]Nickel Qualified Studies'!D5),"",'[1]Nickel Qualified Studies'!D5)</f>
        <v>Literature</v>
      </c>
      <c r="L32" s="73" t="str">
        <f>IF(ISBLANK('[1]Nickel Qualified Studies'!E5),"",'[1]Nickel Qualified Studies'!E5)</f>
        <v>26.90kg CO2 eq / kg electrolytic nickel</v>
      </c>
      <c r="M32" s="74" t="str">
        <f>IF(ISBLANK('[1]Nickel Qualified Studies'!F5),"",'[1]Nickel Qualified Studies'!F5)</f>
        <v>11.332383917 kg_CO2e/kg_NiSO4_anh</v>
      </c>
      <c r="N32" s="73" t="str">
        <f>IF(ISBLANK('[1]Nickel Qualified Studies'!G5),"",'[1]Nickel Qualified Studies'!G5)</f>
        <v>no 
data from national statstic or process data. emissions calculated based on IPCC.</v>
      </c>
      <c r="O32" s="73" t="str">
        <f>IF(ISBLANK('[1]Nickel Qualified Studies'!H5),"",'[1]Nickel Qualified Studies'!H5)</f>
        <v>1kg electrolytic nickel</v>
      </c>
      <c r="P32" s="73" t="str">
        <f>IF(ISBLANK('[1]Nickel Qualified Studies'!I5),"",'[1]Nickel Qualified Studies'!I5)</f>
        <v>see screenshot</v>
      </c>
      <c r="Q32" s="73" t="str">
        <f>IF(ISBLANK('[1]Nickel Qualified Studies'!J5),"",'[1]Nickel Qualified Studies'!J5)</f>
        <v>- intransparent</v>
      </c>
      <c r="R32" s="73" t="str">
        <f>IF(ISBLANK('[1]Nickel Qualified Studies'!K5),"",'[1]Nickel Qualified Studies'!K5)</f>
        <v>Nickel class I</v>
      </c>
      <c r="S32" s="73" t="str">
        <f>IF(ISBLANK('[1]Nickel Qualified Studies'!L5),"",'[1]Nickel Qualified Studies'!L5)</f>
        <v>backward citation</v>
      </c>
      <c r="T32" s="73" t="str">
        <f>IF(ISBLANK('[1]Nickel Qualified Studies'!M5),"",'[1]Nickel Qualified Studies'!M5)</f>
        <v>China</v>
      </c>
      <c r="U32" s="73" t="str">
        <f>IF(ISBLANK('[1]Nickel Qualified Studies'!N5),"",'[1]Nickel Qualified Studies'!N5)</f>
        <v/>
      </c>
      <c r="V32" s="77" t="b">
        <v>0</v>
      </c>
      <c r="W32" s="78" t="s">
        <v>685</v>
      </c>
    </row>
    <row r="33" spans="2:23" ht="28.8" x14ac:dyDescent="0.3">
      <c r="B33" s="1"/>
      <c r="C33" s="1"/>
      <c r="D33" s="1"/>
      <c r="E33" s="1"/>
      <c r="F33" s="1"/>
      <c r="G33" s="1" t="str">
        <f>IF(H33="Mistry et al (2016)","","ERROR - check row order of Notion export")</f>
        <v/>
      </c>
      <c r="H33" s="73" t="str">
        <f>IF(ISBLANK('[1]Nickel Qualified Studies'!A6),"",'[1]Nickel Qualified Studies'!A6)</f>
        <v>Mistry et al (2016)</v>
      </c>
      <c r="I33" s="73" t="str">
        <f>IF(ISBLANK('[1]Nickel Qualified Studies'!B6),"",'[1]Nickel Qualified Studies'!B6)</f>
        <v>Life cycle assessment of nickel products</v>
      </c>
      <c r="J33" s="73" t="str">
        <f>IF(ISBLANK('[1]Nickel Qualified Studies'!C6),"",'[1]Nickel Qualified Studies'!C6)</f>
        <v>https://link.springer.com/article/10.1007/s11367-016-1085-x</v>
      </c>
      <c r="K33" s="73" t="str">
        <f>IF(ISBLANK('[1]Nickel Qualified Studies'!D6),"",'[1]Nickel Qualified Studies'!D6)</f>
        <v>Literature</v>
      </c>
      <c r="L33" s="73" t="str">
        <f>IF(ISBLANK('[1]Nickel Qualified Studies'!E6),"",'[1]Nickel Qualified Studies'!E6)</f>
        <v>7.64 kg CO2e/kg class 1 nickel</v>
      </c>
      <c r="M33" s="74" t="str">
        <f>IF(ISBLANK('[1]Nickel Qualified Studies'!F6),"",'[1]Nickel Qualified Studies'!F6)</f>
        <v>3.6430072646 kg_CO2e/kg_NiSO4_anh</v>
      </c>
      <c r="N33" s="73" t="str">
        <f>IF(ISBLANK('[1]Nickel Qualified Studies'!G6),"",'[1]Nickel Qualified Studies'!G6)</f>
        <v>yes</v>
      </c>
      <c r="O33" s="73" t="str">
        <f>IF(ISBLANK('[1]Nickel Qualified Studies'!H6),"",'[1]Nickel Qualified Studies'!H6)</f>
        <v>1 kg of nickel contained in nickel product at factory gate ⇒ class 1 nickel is defined as 100% nickel</v>
      </c>
      <c r="P33" s="73" t="str">
        <f>IF(ISBLANK('[1]Nickel Qualified Studies'!I6),"",'[1]Nickel Qualified Studies'!I6)</f>
        <v>see screenshot</v>
      </c>
      <c r="Q33" s="73" t="str">
        <f>IF(ISBLANK('[1]Nickel Qualified Studies'!J6),"",'[1]Nickel Qualified Studies'!J6)</f>
        <v>+ transparent, ++ transparent</v>
      </c>
      <c r="R33" s="73" t="str">
        <f>IF(ISBLANK('[1]Nickel Qualified Studies'!K6),"",'[1]Nickel Qualified Studies'!K6)</f>
        <v>Nickel class I</v>
      </c>
      <c r="S33" s="73" t="str">
        <f>IF(ISBLANK('[1]Nickel Qualified Studies'!L6),"",'[1]Nickel Qualified Studies'!L6)</f>
        <v>backward citation</v>
      </c>
      <c r="T33" s="73" t="str">
        <f>IF(ISBLANK('[1]Nickel Qualified Studies'!M6),"",'[1]Nickel Qualified Studies'!M6)</f>
        <v>Global</v>
      </c>
      <c r="U33" s="73" t="str">
        <f>IF(ISBLANK('[1]Nickel Qualified Studies'!N6),"",'[1]Nickel Qualified Studies'!N6)</f>
        <v/>
      </c>
      <c r="V33" s="77" t="b">
        <v>0</v>
      </c>
      <c r="W33" s="78" t="s">
        <v>685</v>
      </c>
    </row>
    <row r="34" spans="2:23" s="6" customFormat="1" ht="28.8" x14ac:dyDescent="0.3">
      <c r="G34" s="1" t="str">
        <f>IF(H34="Norgate and Jahanshahi (2011)","","ERROR - check row order of Notion export")</f>
        <v/>
      </c>
      <c r="H34" s="73" t="str">
        <f>IF(ISBLANK('[1]Nickel Qualified Studies'!A7),"",'[1]Nickel Qualified Studies'!A7)</f>
        <v>Norgate and Jahanshahi (2011)</v>
      </c>
      <c r="I34" s="73" t="str">
        <f>IF(ISBLANK('[1]Nickel Qualified Studies'!B7),"",'[1]Nickel Qualified Studies'!B7)</f>
        <v>Assessing the energy and greenhouse gas footprints of nickel laterite processing</v>
      </c>
      <c r="J34" s="73" t="str">
        <f>IF(ISBLANK('[1]Nickel Qualified Studies'!C7),"",'[1]Nickel Qualified Studies'!C7)</f>
        <v>https://www.sciencedirect.com/science/article/pii/S0892687510002803#t0005</v>
      </c>
      <c r="K34" s="73" t="str">
        <f>IF(ISBLANK('[1]Nickel Qualified Studies'!D7),"",'[1]Nickel Qualified Studies'!D7)</f>
        <v>Literature</v>
      </c>
      <c r="L34" s="73" t="str">
        <f>IF(ISBLANK('[1]Nickel Qualified Studies'!E7),"",'[1]Nickel Qualified Studies'!E7)</f>
        <v>HPAL: 22.7 t CO2e/ t Ni metal
(without acid plant: 27.3 t CO2e/ t Ni metal)</v>
      </c>
      <c r="M34" s="74" t="str">
        <f>IF(ISBLANK('[1]Nickel Qualified Studies'!F7),"",'[1]Nickel Qualified Studies'!F7)</f>
        <v>9.655572809 kg_CO2e/kg_NiSO4_anh</v>
      </c>
      <c r="N34" s="73" t="str">
        <f>IF(ISBLANK('[1]Nickel Qualified Studies'!G7),"",'[1]Nickel Qualified Studies'!G7)</f>
        <v>no</v>
      </c>
      <c r="O34" s="73" t="str">
        <f>IF(ISBLANK('[1]Nickel Qualified Studies'!H7),"",'[1]Nickel Qualified Studies'!H7)</f>
        <v>1 ton of nickel metal</v>
      </c>
      <c r="P34" s="73" t="str">
        <f>IF(ISBLANK('[1]Nickel Qualified Studies'!I7),"",'[1]Nickel Qualified Studies'!I7)</f>
        <v>see screenshot</v>
      </c>
      <c r="Q34" s="73" t="str">
        <f>IF(ISBLANK('[1]Nickel Qualified Studies'!J7),"",'[1]Nickel Qualified Studies'!J7)</f>
        <v>-- intransparent</v>
      </c>
      <c r="R34" s="73" t="str">
        <f>IF(ISBLANK('[1]Nickel Qualified Studies'!K7),"",'[1]Nickel Qualified Studies'!K7)</f>
        <v>Nickel class I</v>
      </c>
      <c r="S34" s="73" t="str">
        <f>IF(ISBLANK('[1]Nickel Qualified Studies'!L7),"",'[1]Nickel Qualified Studies'!L7)</f>
        <v>backward citation</v>
      </c>
      <c r="T34" s="73" t="str">
        <f>IF(ISBLANK('[1]Nickel Qualified Studies'!M7),"",'[1]Nickel Qualified Studies'!M7)</f>
        <v>Australia, Unclear</v>
      </c>
      <c r="U34" s="73" t="str">
        <f>IF(ISBLANK('[1]Nickel Qualified Studies'!N7),"",'[1]Nickel Qualified Studies'!N7)</f>
        <v/>
      </c>
      <c r="V34" s="77" t="b">
        <v>0</v>
      </c>
      <c r="W34" s="78" t="s">
        <v>685</v>
      </c>
    </row>
    <row r="35" spans="2:23" ht="72" x14ac:dyDescent="0.3">
      <c r="G35" s="1" t="str">
        <f>IF(H35="Bai et al (2022)","","ERROR - check row order of Notion export")</f>
        <v/>
      </c>
      <c r="H35" s="73" t="str">
        <f>IF(ISBLANK('[1]Nickel Qualified Studies'!A8),"",'[1]Nickel Qualified Studies'!A8)</f>
        <v>Bai et al (2022)</v>
      </c>
      <c r="I35" s="73" t="str">
        <f>IF(ISBLANK('[1]Nickel Qualified Studies'!B8),"",'[1]Nickel Qualified Studies'!B8)</f>
        <v>Strategies for improving the environmental perfomance of nickel production in China: Insight into a life cycle assessment</v>
      </c>
      <c r="J35" s="73" t="str">
        <f>IF(ISBLANK('[1]Nickel Qualified Studies'!C8),"",'[1]Nickel Qualified Studies'!C8)</f>
        <v>https://www.sciencedirect.com/science/article/pii/S0301479722005229?via%3Dihub</v>
      </c>
      <c r="K35" s="73" t="str">
        <f>IF(ISBLANK('[1]Nickel Qualified Studies'!D8),"",'[1]Nickel Qualified Studies'!D8)</f>
        <v>Literature</v>
      </c>
      <c r="L35" s="73" t="str">
        <f>IF(ISBLANK('[1]Nickel Qualified Studies'!E8),"",'[1]Nickel Qualified Studies'!E8)</f>
        <v>GFEM: 24.30 kg CO2e/kg nickel metal (Grinding, Flotation Electrolytic Method)
LEM: 18.50 kg CO2e/kg nickel metal (Leaching, Electrowinning Method)</v>
      </c>
      <c r="M35" s="74" t="str">
        <f>IF(ISBLANK('[1]Nickel Qualified Studies'!F8),"",'[1]Nickel Qualified Studies'!F8)</f>
        <v>GFEM: 10.294357993 kg_CO2e/kg_NiSO4_anh
LEM: 7.978761701 kg_CO2e/kg_NiSO4_anh</v>
      </c>
      <c r="N35" s="73" t="str">
        <f>IF(ISBLANK('[1]Nickel Qualified Studies'!G8),"",'[1]Nickel Qualified Studies'!G8)</f>
        <v>publication based on primary data studies, but no original primary data intorduced</v>
      </c>
      <c r="O35" s="73" t="str">
        <f>IF(ISBLANK('[1]Nickel Qualified Studies'!H8),"",'[1]Nickel Qualified Studies'!H8)</f>
        <v>1 ton of electrolytic nickel production</v>
      </c>
      <c r="P35" s="73" t="str">
        <f>IF(ISBLANK('[1]Nickel Qualified Studies'!I8),"",'[1]Nickel Qualified Studies'!I8)</f>
        <v>see screenshot</v>
      </c>
      <c r="Q35" s="73" t="str">
        <f>IF(ISBLANK('[1]Nickel Qualified Studies'!J8),"",'[1]Nickel Qualified Studies'!J8)</f>
        <v>++ transparent</v>
      </c>
      <c r="R35" s="73" t="str">
        <f>IF(ISBLANK('[1]Nickel Qualified Studies'!K8),"",'[1]Nickel Qualified Studies'!K8)</f>
        <v>Nickel class I</v>
      </c>
      <c r="S35" s="73" t="str">
        <f>IF(ISBLANK('[1]Nickel Qualified Studies'!L8),"",'[1]Nickel Qualified Studies'!L8)</f>
        <v>backward citation</v>
      </c>
      <c r="T35" s="73" t="str">
        <f>IF(ISBLANK('[1]Nickel Qualified Studies'!M8),"",'[1]Nickel Qualified Studies'!M8)</f>
        <v>China</v>
      </c>
      <c r="U35" s="73" t="str">
        <f>IF(ISBLANK('[1]Nickel Qualified Studies'!N8),"",'[1]Nickel Qualified Studies'!N8)</f>
        <v/>
      </c>
      <c r="V35" s="77" t="b">
        <v>0</v>
      </c>
      <c r="W35" s="78" t="s">
        <v>685</v>
      </c>
    </row>
    <row r="36" spans="2:23" x14ac:dyDescent="0.3">
      <c r="G36" s="1" t="str">
        <f>IF(H36="Bollwein (2022)","","ERROR - check row order of Notion export")</f>
        <v/>
      </c>
      <c r="H36" s="73" t="str">
        <f>IF(ISBLANK('[1]Nickel Qualified Studies'!A9),"",'[1]Nickel Qualified Studies'!A9)</f>
        <v>Bollwein (2022)</v>
      </c>
      <c r="I36" s="73" t="str">
        <f>IF(ISBLANK('[1]Nickel Qualified Studies'!B9),"",'[1]Nickel Qualified Studies'!B9)</f>
        <v>Comparative life cycle assessment of prospective battery-grade material production in Norway</v>
      </c>
      <c r="J36" s="73" t="str">
        <f>IF(ISBLANK('[1]Nickel Qualified Studies'!C9),"",'[1]Nickel Qualified Studies'!C9)</f>
        <v>https://hdl.handle.net/11250/3023809</v>
      </c>
      <c r="K36" s="73" t="str">
        <f>IF(ISBLANK('[1]Nickel Qualified Studies'!D9),"",'[1]Nickel Qualified Studies'!D9)</f>
        <v>Report</v>
      </c>
      <c r="L36" s="73" t="str">
        <f>IF(ISBLANK('[1]Nickel Qualified Studies'!E9),"",'[1]Nickel Qualified Studies'!E9)</f>
        <v xml:space="preserve">3.92 kgCO2eq. per kg nickel sulfate anhydrous </v>
      </c>
      <c r="M36" s="74" t="str">
        <f>IF(ISBLANK('[1]Nickel Qualified Studies'!F9),"",'[1]Nickel Qualified Studies'!F9)</f>
        <v>3.92 kg_CO2e/kg_NiSO4_anh</v>
      </c>
      <c r="N36" s="73" t="str">
        <f>IF(ISBLANK('[1]Nickel Qualified Studies'!G9),"",'[1]Nickel Qualified Studies'!G9)</f>
        <v>yes</v>
      </c>
      <c r="O36" s="73" t="str">
        <f>IF(ISBLANK('[1]Nickel Qualified Studies'!H9),"",'[1]Nickel Qualified Studies'!H9)</f>
        <v>1 kg Nickel sulfate anhydrous  (hypothesized)</v>
      </c>
      <c r="P36" s="73" t="str">
        <f>IF(ISBLANK('[1]Nickel Qualified Studies'!I9),"",'[1]Nickel Qualified Studies'!I9)</f>
        <v>screenshot</v>
      </c>
      <c r="Q36" s="73" t="str">
        <f>IF(ISBLANK('[1]Nickel Qualified Studies'!J9),"",'[1]Nickel Qualified Studies'!J9)</f>
        <v>+ transparent</v>
      </c>
      <c r="R36" s="73" t="str">
        <f>IF(ISBLANK('[1]Nickel Qualified Studies'!K9),"",'[1]Nickel Qualified Studies'!K9)</f>
        <v>Nickel sulfate</v>
      </c>
      <c r="S36" s="73" t="str">
        <f>IF(ISBLANK('[1]Nickel Qualified Studies'!L9),"",'[1]Nickel Qualified Studies'!L9)</f>
        <v>google search</v>
      </c>
      <c r="T36" s="73" t="str">
        <f>IF(ISBLANK('[1]Nickel Qualified Studies'!M9),"",'[1]Nickel Qualified Studies'!M9)</f>
        <v>Canada, Norway</v>
      </c>
      <c r="U36" s="73" t="str">
        <f>IF(ISBLANK('[1]Nickel Qualified Studies'!N9),"",'[1]Nickel Qualified Studies'!N9)</f>
        <v>Glencore Nikkelverk</v>
      </c>
      <c r="V36" s="77" t="b">
        <v>0</v>
      </c>
      <c r="W36" s="78" t="s">
        <v>685</v>
      </c>
    </row>
    <row r="37" spans="2:23" x14ac:dyDescent="0.3">
      <c r="G37" s="1" t="str">
        <f>IF(H37="GREET 2022 [mixed]","","ERROR - check row order of Notion export")</f>
        <v/>
      </c>
      <c r="H37" s="73" t="str">
        <f>IF(ISBLANK('[1]Nickel Qualified Studies'!A10),"",'[1]Nickel Qualified Studies'!A10)</f>
        <v>GREET 2022 [mixed]</v>
      </c>
      <c r="I37" s="73" t="str">
        <f>IF(ISBLANK('[1]Nickel Qualified Studies'!B10),"",'[1]Nickel Qualified Studies'!B10)</f>
        <v>GREET 2022 .net</v>
      </c>
      <c r="J37" s="73" t="str">
        <f>IF(ISBLANK('[1]Nickel Qualified Studies'!C10),"",'[1]Nickel Qualified Studies'!C10)</f>
        <v>https://greet.anl.gov/</v>
      </c>
      <c r="K37" s="73" t="str">
        <f>IF(ISBLANK('[1]Nickel Qualified Studies'!D10),"",'[1]Nickel Qualified Studies'!D10)</f>
        <v>Database</v>
      </c>
      <c r="L37" s="73" t="str">
        <f>IF(ISBLANK('[1]Nickel Qualified Studies'!E10),"",'[1]Nickel Qualified Studies'!E10)</f>
        <v>7,0261 kg_CO2e/kg_NiSO4 anhydrous</v>
      </c>
      <c r="M37" s="74" t="str">
        <f>IF(ISBLANK('[1]Nickel Qualified Studies'!F10),"",'[1]Nickel Qualified Studies'!F10)</f>
        <v>7,0261  kg_CO2e/kg_NiSO4_anh</v>
      </c>
      <c r="N37" s="73" t="str">
        <f>IF(ISBLANK('[1]Nickel Qualified Studies'!G10),"",'[1]Nickel Qualified Studies'!G10)</f>
        <v/>
      </c>
      <c r="O37" s="73" t="str">
        <f>IF(ISBLANK('[1]Nickel Qualified Studies'!H10),"",'[1]Nickel Qualified Studies'!H10)</f>
        <v>1 kg Nickel sulfate anhydrous</v>
      </c>
      <c r="P37" s="73" t="str">
        <f>IF(ISBLANK('[1]Nickel Qualified Studies'!I10),"",'[1]Nickel Qualified Studies'!I10)</f>
        <v/>
      </c>
      <c r="Q37" s="73" t="str">
        <f>IF(ISBLANK('[1]Nickel Qualified Studies'!J10),"",'[1]Nickel Qualified Studies'!J10)</f>
        <v/>
      </c>
      <c r="R37" s="73" t="str">
        <f>IF(ISBLANK('[1]Nickel Qualified Studies'!K10),"",'[1]Nickel Qualified Studies'!K10)</f>
        <v>Nickel sulfate</v>
      </c>
      <c r="S37" s="73" t="str">
        <f>IF(ISBLANK('[1]Nickel Qualified Studies'!L10),"",'[1]Nickel Qualified Studies'!L10)</f>
        <v/>
      </c>
      <c r="T37" s="73" t="str">
        <f>IF(ISBLANK('[1]Nickel Qualified Studies'!M10),"",'[1]Nickel Qualified Studies'!M10)</f>
        <v/>
      </c>
      <c r="U37" s="73" t="str">
        <f>IF(ISBLANK('[1]Nickel Qualified Studies'!N10),"",'[1]Nickel Qualified Studies'!N10)</f>
        <v/>
      </c>
      <c r="V37" s="77" t="b">
        <v>0</v>
      </c>
      <c r="W37" s="78" t="s">
        <v>685</v>
      </c>
    </row>
    <row r="38" spans="2:23" x14ac:dyDescent="0.3">
      <c r="G38" s="1" t="str">
        <f>IF(H38="GREET 2022 [Lat-Lim (no metal intermediate)]","","ERROR - check row order of Notion export")</f>
        <v/>
      </c>
      <c r="H38" s="73" t="str">
        <f>IF(ISBLANK('[1]Nickel Qualified Studies'!A11),"",'[1]Nickel Qualified Studies'!A11)</f>
        <v>GREET 2022 [Lat-Lim (no metal intermediate)]</v>
      </c>
      <c r="I38" s="73" t="str">
        <f>IF(ISBLANK('[1]Nickel Qualified Studies'!B11),"",'[1]Nickel Qualified Studies'!B11)</f>
        <v>GREET 2022 .net</v>
      </c>
      <c r="J38" s="73" t="str">
        <f>IF(ISBLANK('[1]Nickel Qualified Studies'!C11),"",'[1]Nickel Qualified Studies'!C11)</f>
        <v>https://greet.anl.gov/</v>
      </c>
      <c r="K38" s="73" t="str">
        <f>IF(ISBLANK('[1]Nickel Qualified Studies'!D11),"",'[1]Nickel Qualified Studies'!D11)</f>
        <v>Database</v>
      </c>
      <c r="L38" s="73" t="str">
        <f>IF(ISBLANK('[1]Nickel Qualified Studies'!E11),"",'[1]Nickel Qualified Studies'!E11)</f>
        <v>10,3016 kg_CO2e/kg_NiSO4 anhydrous</v>
      </c>
      <c r="M38" s="74" t="str">
        <f>IF(ISBLANK('[1]Nickel Qualified Studies'!F11),"",'[1]Nickel Qualified Studies'!F11)</f>
        <v>10,3016  kg_CO2e/kg_NiSO4_anh</v>
      </c>
      <c r="N38" s="73" t="str">
        <f>IF(ISBLANK('[1]Nickel Qualified Studies'!G11),"",'[1]Nickel Qualified Studies'!G11)</f>
        <v/>
      </c>
      <c r="O38" s="73" t="str">
        <f>IF(ISBLANK('[1]Nickel Qualified Studies'!H11),"",'[1]Nickel Qualified Studies'!H11)</f>
        <v>1 kg Nickel sulfate anhydrous</v>
      </c>
      <c r="P38" s="73" t="str">
        <f>IF(ISBLANK('[1]Nickel Qualified Studies'!I11),"",'[1]Nickel Qualified Studies'!I11)</f>
        <v/>
      </c>
      <c r="Q38" s="73" t="str">
        <f>IF(ISBLANK('[1]Nickel Qualified Studies'!J11),"",'[1]Nickel Qualified Studies'!J11)</f>
        <v/>
      </c>
      <c r="R38" s="73" t="str">
        <f>IF(ISBLANK('[1]Nickel Qualified Studies'!K11),"",'[1]Nickel Qualified Studies'!K11)</f>
        <v>Nickel sulfate</v>
      </c>
      <c r="S38" s="73" t="str">
        <f>IF(ISBLANK('[1]Nickel Qualified Studies'!L11),"",'[1]Nickel Qualified Studies'!L11)</f>
        <v/>
      </c>
      <c r="T38" s="73" t="str">
        <f>IF(ISBLANK('[1]Nickel Qualified Studies'!M11),"",'[1]Nickel Qualified Studies'!M11)</f>
        <v/>
      </c>
      <c r="U38" s="73" t="str">
        <f>IF(ISBLANK('[1]Nickel Qualified Studies'!N11),"",'[1]Nickel Qualified Studies'!N11)</f>
        <v/>
      </c>
      <c r="V38" s="77" t="b">
        <v>0</v>
      </c>
      <c r="W38" s="78" t="s">
        <v>685</v>
      </c>
    </row>
    <row r="39" spans="2:23" x14ac:dyDescent="0.3">
      <c r="G39" s="1" t="str">
        <f>IF(H39="GREET 2022 [Sulph]","","ERROR - check row order of Notion export")</f>
        <v/>
      </c>
      <c r="H39" s="73" t="str">
        <f>IF(ISBLANK('[1]Nickel Qualified Studies'!A12),"",'[1]Nickel Qualified Studies'!A12)</f>
        <v>GREET 2022 [Sulph]</v>
      </c>
      <c r="I39" s="73" t="str">
        <f>IF(ISBLANK('[1]Nickel Qualified Studies'!B12),"",'[1]Nickel Qualified Studies'!B12)</f>
        <v>GREET 2022 .net</v>
      </c>
      <c r="J39" s="73" t="str">
        <f>IF(ISBLANK('[1]Nickel Qualified Studies'!C12),"",'[1]Nickel Qualified Studies'!C12)</f>
        <v>https://greet.anl.gov/</v>
      </c>
      <c r="K39" s="73" t="str">
        <f>IF(ISBLANK('[1]Nickel Qualified Studies'!D12),"",'[1]Nickel Qualified Studies'!D12)</f>
        <v>Database</v>
      </c>
      <c r="L39" s="73" t="str">
        <f>IF(ISBLANK('[1]Nickel Qualified Studies'!E12),"",'[1]Nickel Qualified Studies'!E12)</f>
        <v>3,4697 kg_CO2e/kg_NiSO4 anhydrous</v>
      </c>
      <c r="M39" s="74" t="str">
        <f>IF(ISBLANK('[1]Nickel Qualified Studies'!F12),"",'[1]Nickel Qualified Studies'!F12)</f>
        <v>3,4697  kg_CO2e/kg_NiSO4_anh</v>
      </c>
      <c r="N39" s="73" t="str">
        <f>IF(ISBLANK('[1]Nickel Qualified Studies'!G12),"",'[1]Nickel Qualified Studies'!G12)</f>
        <v/>
      </c>
      <c r="O39" s="73" t="str">
        <f>IF(ISBLANK('[1]Nickel Qualified Studies'!H12),"",'[1]Nickel Qualified Studies'!H12)</f>
        <v>1 kg Nickel sulfate anhydrous</v>
      </c>
      <c r="P39" s="73" t="str">
        <f>IF(ISBLANK('[1]Nickel Qualified Studies'!I12),"",'[1]Nickel Qualified Studies'!I12)</f>
        <v/>
      </c>
      <c r="Q39" s="73" t="str">
        <f>IF(ISBLANK('[1]Nickel Qualified Studies'!J12),"",'[1]Nickel Qualified Studies'!J12)</f>
        <v/>
      </c>
      <c r="R39" s="73" t="str">
        <f>IF(ISBLANK('[1]Nickel Qualified Studies'!K12),"",'[1]Nickel Qualified Studies'!K12)</f>
        <v>Nickel sulfate</v>
      </c>
      <c r="S39" s="73" t="str">
        <f>IF(ISBLANK('[1]Nickel Qualified Studies'!L12),"",'[1]Nickel Qualified Studies'!L12)</f>
        <v/>
      </c>
      <c r="T39" s="73" t="str">
        <f>IF(ISBLANK('[1]Nickel Qualified Studies'!M12),"",'[1]Nickel Qualified Studies'!M12)</f>
        <v/>
      </c>
      <c r="U39" s="73" t="str">
        <f>IF(ISBLANK('[1]Nickel Qualified Studies'!N12),"",'[1]Nickel Qualified Studies'!N12)</f>
        <v/>
      </c>
      <c r="V39" s="77" t="b">
        <v>0</v>
      </c>
      <c r="W39" s="78" t="s">
        <v>685</v>
      </c>
    </row>
    <row r="40" spans="2:23" x14ac:dyDescent="0.3">
      <c r="G40" s="1" t="str">
        <f>IF(H40="GREET 2022 [Lat-Lim]","","ERROR - check row order of Notion export")</f>
        <v/>
      </c>
      <c r="H40" s="73" t="str">
        <f>IF(ISBLANK('[1]Nickel Qualified Studies'!A13),"",'[1]Nickel Qualified Studies'!A13)</f>
        <v>GREET 2022 [Lat-Lim]</v>
      </c>
      <c r="I40" s="73" t="str">
        <f>IF(ISBLANK('[1]Nickel Qualified Studies'!B13),"",'[1]Nickel Qualified Studies'!B13)</f>
        <v>GREET 2022 .net</v>
      </c>
      <c r="J40" s="73" t="str">
        <f>IF(ISBLANK('[1]Nickel Qualified Studies'!C13),"",'[1]Nickel Qualified Studies'!C13)</f>
        <v>https://greet.anl.gov/</v>
      </c>
      <c r="K40" s="73" t="str">
        <f>IF(ISBLANK('[1]Nickel Qualified Studies'!D13),"",'[1]Nickel Qualified Studies'!D13)</f>
        <v>Database</v>
      </c>
      <c r="L40" s="73" t="str">
        <f>IF(ISBLANK('[1]Nickel Qualified Studies'!E13),"",'[1]Nickel Qualified Studies'!E13)</f>
        <v>15,2099 kg_CO2e/kg_NiSO4 anhydrous</v>
      </c>
      <c r="M40" s="74" t="str">
        <f>IF(ISBLANK('[1]Nickel Qualified Studies'!F13),"",'[1]Nickel Qualified Studies'!F13)</f>
        <v>15,2099  kg_CO2e/kg_NiSO4_anh</v>
      </c>
      <c r="N40" s="73" t="str">
        <f>IF(ISBLANK('[1]Nickel Qualified Studies'!G13),"",'[1]Nickel Qualified Studies'!G13)</f>
        <v/>
      </c>
      <c r="O40" s="73" t="str">
        <f>IF(ISBLANK('[1]Nickel Qualified Studies'!H13),"",'[1]Nickel Qualified Studies'!H13)</f>
        <v>1 kg Nickel sulfate anhydrous</v>
      </c>
      <c r="P40" s="73" t="str">
        <f>IF(ISBLANK('[1]Nickel Qualified Studies'!I13),"",'[1]Nickel Qualified Studies'!I13)</f>
        <v/>
      </c>
      <c r="Q40" s="73" t="str">
        <f>IF(ISBLANK('[1]Nickel Qualified Studies'!J13),"",'[1]Nickel Qualified Studies'!J13)</f>
        <v/>
      </c>
      <c r="R40" s="73" t="str">
        <f>IF(ISBLANK('[1]Nickel Qualified Studies'!K13),"",'[1]Nickel Qualified Studies'!K13)</f>
        <v>Nickel sulfate</v>
      </c>
      <c r="S40" s="73" t="str">
        <f>IF(ISBLANK('[1]Nickel Qualified Studies'!L13),"",'[1]Nickel Qualified Studies'!L13)</f>
        <v/>
      </c>
      <c r="T40" s="73" t="str">
        <f>IF(ISBLANK('[1]Nickel Qualified Studies'!M13),"",'[1]Nickel Qualified Studies'!M13)</f>
        <v/>
      </c>
      <c r="U40" s="73" t="str">
        <f>IF(ISBLANK('[1]Nickel Qualified Studies'!N13),"",'[1]Nickel Qualified Studies'!N13)</f>
        <v/>
      </c>
      <c r="V40" s="77" t="b">
        <v>0</v>
      </c>
      <c r="W40" s="78" t="s">
        <v>685</v>
      </c>
    </row>
    <row r="41" spans="2:23" x14ac:dyDescent="0.3">
      <c r="G41" s="1" t="str">
        <f>IF(H41="EI 3.9.1","","ERROR - check row order of Notion export")</f>
        <v/>
      </c>
      <c r="H41" s="73" t="str">
        <f>IF(ISBLANK('[1]Nickel Qualified Studies'!A14),"",'[1]Nickel Qualified Studies'!A14)</f>
        <v>EI 3.9.1</v>
      </c>
      <c r="I41" s="73" t="str">
        <f>IF(ISBLANK('[1]Nickel Qualified Studies'!B14),"",'[1]Nickel Qualified Studies'!B14)</f>
        <v>nickel sulfate production</v>
      </c>
      <c r="J41" s="73" t="str">
        <f>IF(ISBLANK('[1]Nickel Qualified Studies'!C14),"",'[1]Nickel Qualified Studies'!C14)</f>
        <v>https://ecoquery.ecoinvent.org/3.9.1/cutoff/dataset/113/documentation</v>
      </c>
      <c r="K41" s="73" t="str">
        <f>IF(ISBLANK('[1]Nickel Qualified Studies'!D14),"",'[1]Nickel Qualified Studies'!D14)</f>
        <v>Database</v>
      </c>
      <c r="L41" s="73" t="str">
        <f>IF(ISBLANK('[1]Nickel Qualified Studies'!E14),"",'[1]Nickel Qualified Studies'!E14)</f>
        <v>7,5907 kg_CO2e/kg_NiSO4</v>
      </c>
      <c r="M41" s="74" t="str">
        <f>IF(ISBLANK('[1]Nickel Qualified Studies'!F14),"",'[1]Nickel Qualified Studies'!F14)</f>
        <v>7,5907  kg_CO2e/kg_NiSO4_anh</v>
      </c>
      <c r="N41" s="73" t="str">
        <f>IF(ISBLANK('[1]Nickel Qualified Studies'!G14),"",'[1]Nickel Qualified Studies'!G14)</f>
        <v/>
      </c>
      <c r="O41" s="73" t="str">
        <f>IF(ISBLANK('[1]Nickel Qualified Studies'!H14),"",'[1]Nickel Qualified Studies'!H14)</f>
        <v>1 kg Nickel sulfate anhydrous</v>
      </c>
      <c r="P41" s="73" t="str">
        <f>IF(ISBLANK('[1]Nickel Qualified Studies'!I14),"",'[1]Nickel Qualified Studies'!I14)</f>
        <v/>
      </c>
      <c r="Q41" s="73" t="str">
        <f>IF(ISBLANK('[1]Nickel Qualified Studies'!J14),"",'[1]Nickel Qualified Studies'!J14)</f>
        <v/>
      </c>
      <c r="R41" s="73" t="str">
        <f>IF(ISBLANK('[1]Nickel Qualified Studies'!K14),"",'[1]Nickel Qualified Studies'!K14)</f>
        <v>Nickel sulfate</v>
      </c>
      <c r="S41" s="73" t="str">
        <f>IF(ISBLANK('[1]Nickel Qualified Studies'!L14),"",'[1]Nickel Qualified Studies'!L14)</f>
        <v/>
      </c>
      <c r="T41" s="73" t="str">
        <f>IF(ISBLANK('[1]Nickel Qualified Studies'!M14),"",'[1]Nickel Qualified Studies'!M14)</f>
        <v>Global</v>
      </c>
      <c r="U41" s="73" t="str">
        <f>IF(ISBLANK('[1]Nickel Qualified Studies'!N14),"",'[1]Nickel Qualified Studies'!N14)</f>
        <v>Gendorf</v>
      </c>
      <c r="V41" s="77" t="b">
        <v>0</v>
      </c>
      <c r="W41" s="78" t="s">
        <v>685</v>
      </c>
    </row>
    <row r="42" spans="2:23" ht="28.8" x14ac:dyDescent="0.3">
      <c r="G42" s="1" t="str">
        <f>IF(H42="EI 3.9.1 [Sulph, CN]","","ERROR - check row order of Notion export")</f>
        <v/>
      </c>
      <c r="H42" s="73" t="str">
        <f>IF(ISBLANK('[1]Nickel Qualified Studies'!A15),"",'[1]Nickel Qualified Studies'!A15)</f>
        <v>EI 3.9.1 [Sulph, CN]</v>
      </c>
      <c r="I42" s="73" t="str">
        <f>IF(ISBLANK('[1]Nickel Qualified Studies'!B15),"",'[1]Nickel Qualified Studies'!B15)</f>
        <v>nickel, class 1 smelting and refining of nickel concentrate, 7% Ni</v>
      </c>
      <c r="J42" s="73" t="str">
        <f>IF(ISBLANK('[1]Nickel Qualified Studies'!C15),"",'[1]Nickel Qualified Studies'!C15)</f>
        <v>https://ecoquery.ecoinvent.org/3.9.1/cutoff/dataset/23679/documentation</v>
      </c>
      <c r="K42" s="73" t="str">
        <f>IF(ISBLANK('[1]Nickel Qualified Studies'!D15),"",'[1]Nickel Qualified Studies'!D15)</f>
        <v>Database</v>
      </c>
      <c r="L42" s="73" t="str">
        <f>IF(ISBLANK('[1]Nickel Qualified Studies'!E15),"",'[1]Nickel Qualified Studies'!E15)</f>
        <v>33,925 kg_CO2e/kg_Ni_metal</v>
      </c>
      <c r="M42" s="74" t="str">
        <f>IF(ISBLANK('[1]Nickel Qualified Studies'!F15),"",'[1]Nickel Qualified Studies'!F15)</f>
        <v>14.1370501155 kg_CO2e/kg_NiSO4_anh</v>
      </c>
      <c r="N42" s="73" t="str">
        <f>IF(ISBLANK('[1]Nickel Qualified Studies'!G15),"",'[1]Nickel Qualified Studies'!G15)</f>
        <v/>
      </c>
      <c r="O42" s="73" t="str">
        <f>IF(ISBLANK('[1]Nickel Qualified Studies'!H15),"",'[1]Nickel Qualified Studies'!H15)</f>
        <v>1 kg Nickel metal</v>
      </c>
      <c r="P42" s="73" t="str">
        <f>IF(ISBLANK('[1]Nickel Qualified Studies'!I15),"",'[1]Nickel Qualified Studies'!I15)</f>
        <v/>
      </c>
      <c r="Q42" s="73" t="str">
        <f>IF(ISBLANK('[1]Nickel Qualified Studies'!J15),"",'[1]Nickel Qualified Studies'!J15)</f>
        <v/>
      </c>
      <c r="R42" s="73" t="str">
        <f>IF(ISBLANK('[1]Nickel Qualified Studies'!K15),"",'[1]Nickel Qualified Studies'!K15)</f>
        <v>Nickel class I</v>
      </c>
      <c r="S42" s="73" t="str">
        <f>IF(ISBLANK('[1]Nickel Qualified Studies'!L15),"",'[1]Nickel Qualified Studies'!L15)</f>
        <v/>
      </c>
      <c r="T42" s="73" t="str">
        <f>IF(ISBLANK('[1]Nickel Qualified Studies'!M15),"",'[1]Nickel Qualified Studies'!M15)</f>
        <v>China</v>
      </c>
      <c r="U42" s="73" t="str">
        <f>IF(ISBLANK('[1]Nickel Qualified Studies'!N15),"",'[1]Nickel Qualified Studies'!N15)</f>
        <v/>
      </c>
      <c r="V42" s="77" t="b">
        <v>0</v>
      </c>
      <c r="W42" s="78" t="s">
        <v>685</v>
      </c>
    </row>
    <row r="43" spans="2:23" ht="28.8" x14ac:dyDescent="0.3">
      <c r="G43" s="1" t="str">
        <f>IF(H43="EI 3.9.1 [from cobalt production, GLO]","","ERROR - check row order of Notion export")</f>
        <v/>
      </c>
      <c r="H43" s="73" t="str">
        <f>IF(ISBLANK('[1]Nickel Qualified Studies'!A16),"",'[1]Nickel Qualified Studies'!A16)</f>
        <v>EI 3.9.1 [from cobalt production, GLO]</v>
      </c>
      <c r="I43" s="73" t="str">
        <f>IF(ISBLANK('[1]Nickel Qualified Studies'!B16),"",'[1]Nickel Qualified Studies'!B16)</f>
        <v>nickel, class 1 cobalt production</v>
      </c>
      <c r="J43" s="73" t="str">
        <f>IF(ISBLANK('[1]Nickel Qualified Studies'!C16),"",'[1]Nickel Qualified Studies'!C16)</f>
        <v>https://ecoquery.ecoinvent.org/3.9.1/cutoff/dataset/23006/impact_assessment</v>
      </c>
      <c r="K43" s="73" t="str">
        <f>IF(ISBLANK('[1]Nickel Qualified Studies'!D16),"",'[1]Nickel Qualified Studies'!D16)</f>
        <v>Database</v>
      </c>
      <c r="L43" s="73" t="str">
        <f>IF(ISBLANK('[1]Nickel Qualified Studies'!E16),"",'[1]Nickel Qualified Studies'!E16)</f>
        <v>18,814 kg_CO2e/kg_Ni_metal</v>
      </c>
      <c r="M43" s="74" t="str">
        <f>IF(ISBLANK('[1]Nickel Qualified Studies'!F16),"",'[1]Nickel Qualified Studies'!F16)</f>
        <v>8.10412329336 kg_CO2e/kg_NiSO4_anh</v>
      </c>
      <c r="N43" s="73" t="str">
        <f>IF(ISBLANK('[1]Nickel Qualified Studies'!G16),"",'[1]Nickel Qualified Studies'!G16)</f>
        <v/>
      </c>
      <c r="O43" s="73" t="str">
        <f>IF(ISBLANK('[1]Nickel Qualified Studies'!H16),"",'[1]Nickel Qualified Studies'!H16)</f>
        <v>1 kg Nickel metal</v>
      </c>
      <c r="P43" s="73" t="str">
        <f>IF(ISBLANK('[1]Nickel Qualified Studies'!I16),"",'[1]Nickel Qualified Studies'!I16)</f>
        <v/>
      </c>
      <c r="Q43" s="73" t="str">
        <f>IF(ISBLANK('[1]Nickel Qualified Studies'!J16),"",'[1]Nickel Qualified Studies'!J16)</f>
        <v/>
      </c>
      <c r="R43" s="73" t="str">
        <f>IF(ISBLANK('[1]Nickel Qualified Studies'!K16),"",'[1]Nickel Qualified Studies'!K16)</f>
        <v>Nickel class I</v>
      </c>
      <c r="S43" s="73" t="str">
        <f>IF(ISBLANK('[1]Nickel Qualified Studies'!L16),"",'[1]Nickel Qualified Studies'!L16)</f>
        <v/>
      </c>
      <c r="T43" s="73" t="str">
        <f>IF(ISBLANK('[1]Nickel Qualified Studies'!M16),"",'[1]Nickel Qualified Studies'!M16)</f>
        <v>Global</v>
      </c>
      <c r="U43" s="73" t="str">
        <f>IF(ISBLANK('[1]Nickel Qualified Studies'!N16),"",'[1]Nickel Qualified Studies'!N16)</f>
        <v/>
      </c>
      <c r="V43" s="77" t="b">
        <v>0</v>
      </c>
      <c r="W43" s="78" t="s">
        <v>685</v>
      </c>
    </row>
    <row r="44" spans="2:23" ht="28.8" x14ac:dyDescent="0.3">
      <c r="G44" s="1" t="str">
        <f>IF(H44="EI 3.9.1 [Sulph, GLO]","","ERROR - check row order of Notion export")</f>
        <v/>
      </c>
      <c r="H44" s="73" t="str">
        <f>IF(ISBLANK('[1]Nickel Qualified Studies'!A17),"",'[1]Nickel Qualified Studies'!A17)</f>
        <v>EI 3.9.1 [Sulph, GLO]</v>
      </c>
      <c r="I44" s="73" t="str">
        <f>IF(ISBLANK('[1]Nickel Qualified Studies'!B17),"",'[1]Nickel Qualified Studies'!B17)</f>
        <v>nickel, class 1 processing of nickelrich materials</v>
      </c>
      <c r="J44" s="73" t="str">
        <f>IF(ISBLANK('[1]Nickel Qualified Studies'!C17),"",'[1]Nickel Qualified Studies'!C17)</f>
        <v>https://ecoquery.ecoinvent.org/3.9.1/cutoff/dataset/22681/impact_assessment</v>
      </c>
      <c r="K44" s="73" t="str">
        <f>IF(ISBLANK('[1]Nickel Qualified Studies'!D17),"",'[1]Nickel Qualified Studies'!D17)</f>
        <v>Database</v>
      </c>
      <c r="L44" s="73" t="str">
        <f>IF(ISBLANK('[1]Nickel Qualified Studies'!E17),"",'[1]Nickel Qualified Studies'!E17)</f>
        <v>5,627 kg_CO2e/kg_Ni_metal</v>
      </c>
      <c r="M44" s="74" t="str">
        <f>IF(ISBLANK('[1]Nickel Qualified Studies'!F17),"",'[1]Nickel Qualified Studies'!F17)</f>
        <v>2.83933565498 kg_CO2e/kg_NiSO4_anh</v>
      </c>
      <c r="N44" s="73" t="str">
        <f>IF(ISBLANK('[1]Nickel Qualified Studies'!G17),"",'[1]Nickel Qualified Studies'!G17)</f>
        <v/>
      </c>
      <c r="O44" s="73" t="str">
        <f>IF(ISBLANK('[1]Nickel Qualified Studies'!H17),"",'[1]Nickel Qualified Studies'!H17)</f>
        <v>1 kg Nickel metal</v>
      </c>
      <c r="P44" s="73" t="str">
        <f>IF(ISBLANK('[1]Nickel Qualified Studies'!I17),"",'[1]Nickel Qualified Studies'!I17)</f>
        <v/>
      </c>
      <c r="Q44" s="73" t="str">
        <f>IF(ISBLANK('[1]Nickel Qualified Studies'!J17),"",'[1]Nickel Qualified Studies'!J17)</f>
        <v/>
      </c>
      <c r="R44" s="73" t="str">
        <f>IF(ISBLANK('[1]Nickel Qualified Studies'!K17),"",'[1]Nickel Qualified Studies'!K17)</f>
        <v>Nickel class I</v>
      </c>
      <c r="S44" s="73" t="str">
        <f>IF(ISBLANK('[1]Nickel Qualified Studies'!L17),"",'[1]Nickel Qualified Studies'!L17)</f>
        <v/>
      </c>
      <c r="T44" s="73" t="str">
        <f>IF(ISBLANK('[1]Nickel Qualified Studies'!M17),"",'[1]Nickel Qualified Studies'!M17)</f>
        <v>Global</v>
      </c>
      <c r="U44" s="73" t="str">
        <f>IF(ISBLANK('[1]Nickel Qualified Studies'!N17),"",'[1]Nickel Qualified Studies'!N17)</f>
        <v/>
      </c>
      <c r="V44" s="77" t="b">
        <v>0</v>
      </c>
      <c r="W44" s="78" t="s">
        <v>685</v>
      </c>
    </row>
    <row r="45" spans="2:23" ht="28.8" x14ac:dyDescent="0.3">
      <c r="G45" s="1" t="str">
        <f>IF(H45="EI 3.9.1 [Sulph, GLO]","","ERROR - check row order of Notion export")</f>
        <v/>
      </c>
      <c r="H45" s="73" t="str">
        <f>IF(ISBLANK('[1]Nickel Qualified Studies'!A18),"",'[1]Nickel Qualified Studies'!A18)</f>
        <v>EI 3.9.1 [Sulph, GLO]</v>
      </c>
      <c r="I45" s="73" t="str">
        <f>IF(ISBLANK('[1]Nickel Qualified Studies'!B18),"",'[1]Nickel Qualified Studies'!B18)</f>
        <v>nickel, class 1 smelting and refining of nickel concentrate, 16% Ni</v>
      </c>
      <c r="J45" s="73" t="str">
        <f>IF(ISBLANK('[1]Nickel Qualified Studies'!C18),"",'[1]Nickel Qualified Studies'!C18)</f>
        <v>https://ecoquery.ecoinvent.org/3.9.1/cutoff/dataset/13353/impact_assessment</v>
      </c>
      <c r="K45" s="73" t="str">
        <f>IF(ISBLANK('[1]Nickel Qualified Studies'!D18),"",'[1]Nickel Qualified Studies'!D18)</f>
        <v>Database</v>
      </c>
      <c r="L45" s="73" t="str">
        <f>IF(ISBLANK('[1]Nickel Qualified Studies'!E18),"",'[1]Nickel Qualified Studies'!E18)</f>
        <v>10,495 kg_CO2e/kg_Ni_metal</v>
      </c>
      <c r="M45" s="74" t="str">
        <f>IF(ISBLANK('[1]Nickel Qualified Studies'!F18),"",'[1]Nickel Qualified Studies'!F18)</f>
        <v>4.7828395773 kg_CO2e/kg_NiSO4_anh</v>
      </c>
      <c r="N45" s="73" t="str">
        <f>IF(ISBLANK('[1]Nickel Qualified Studies'!G18),"",'[1]Nickel Qualified Studies'!G18)</f>
        <v/>
      </c>
      <c r="O45" s="73" t="str">
        <f>IF(ISBLANK('[1]Nickel Qualified Studies'!H18),"",'[1]Nickel Qualified Studies'!H18)</f>
        <v>1 kg Nickel metal</v>
      </c>
      <c r="P45" s="73" t="str">
        <f>IF(ISBLANK('[1]Nickel Qualified Studies'!I18),"",'[1]Nickel Qualified Studies'!I18)</f>
        <v/>
      </c>
      <c r="Q45" s="73" t="str">
        <f>IF(ISBLANK('[1]Nickel Qualified Studies'!J18),"",'[1]Nickel Qualified Studies'!J18)</f>
        <v/>
      </c>
      <c r="R45" s="73" t="str">
        <f>IF(ISBLANK('[1]Nickel Qualified Studies'!K18),"",'[1]Nickel Qualified Studies'!K18)</f>
        <v>Nickel class I</v>
      </c>
      <c r="S45" s="73" t="str">
        <f>IF(ISBLANK('[1]Nickel Qualified Studies'!L18),"",'[1]Nickel Qualified Studies'!L18)</f>
        <v/>
      </c>
      <c r="T45" s="73" t="str">
        <f>IF(ISBLANK('[1]Nickel Qualified Studies'!M18),"",'[1]Nickel Qualified Studies'!M18)</f>
        <v>Global</v>
      </c>
      <c r="U45" s="73" t="str">
        <f>IF(ISBLANK('[1]Nickel Qualified Studies'!N18),"",'[1]Nickel Qualified Studies'!N18)</f>
        <v/>
      </c>
      <c r="V45" s="77" t="b">
        <v>0</v>
      </c>
      <c r="W45" s="78" t="s">
        <v>685</v>
      </c>
    </row>
    <row r="46" spans="2:23" ht="28.8" x14ac:dyDescent="0.3">
      <c r="G46" s="1" t="str">
        <f>IF(H46="EI 3.9.1 [Sulph, RU]","","ERROR - check row order of Notion export")</f>
        <v/>
      </c>
      <c r="H46" s="73" t="str">
        <f>IF(ISBLANK('[1]Nickel Qualified Studies'!A19),"",'[1]Nickel Qualified Studies'!A19)</f>
        <v>EI 3.9.1 [Sulph, RU]</v>
      </c>
      <c r="I46" s="73" t="str">
        <f>IF(ISBLANK('[1]Nickel Qualified Studies'!B19),"",'[1]Nickel Qualified Studies'!B19)</f>
        <v>nickel, class 1 platinum group metal mine operation, ore with high palladium content</v>
      </c>
      <c r="J46" s="73" t="str">
        <f>IF(ISBLANK('[1]Nickel Qualified Studies'!C19),"",'[1]Nickel Qualified Studies'!C19)</f>
        <v>https://ecoquery.ecoinvent.org/3.9.1/cutoff/dataset/5172/impact_assessment</v>
      </c>
      <c r="K46" s="73" t="str">
        <f>IF(ISBLANK('[1]Nickel Qualified Studies'!D19),"",'[1]Nickel Qualified Studies'!D19)</f>
        <v>Database</v>
      </c>
      <c r="L46" s="73" t="str">
        <f>IF(ISBLANK('[1]Nickel Qualified Studies'!E19),"",'[1]Nickel Qualified Studies'!E19)</f>
        <v>8,5474 kg_CO2e/kg_Ni_metal</v>
      </c>
      <c r="M46" s="74" t="str">
        <f>IF(ISBLANK('[1]Nickel Qualified Studies'!F19),"",'[1]Nickel Qualified Studies'!F19)</f>
        <v>4.005278312076 kg_CO2e/kg_NiSO4_anh</v>
      </c>
      <c r="N46" s="73" t="str">
        <f>IF(ISBLANK('[1]Nickel Qualified Studies'!G19),"",'[1]Nickel Qualified Studies'!G19)</f>
        <v/>
      </c>
      <c r="O46" s="73" t="str">
        <f>IF(ISBLANK('[1]Nickel Qualified Studies'!H19),"",'[1]Nickel Qualified Studies'!H19)</f>
        <v>1 kg Nickel metal</v>
      </c>
      <c r="P46" s="73" t="str">
        <f>IF(ISBLANK('[1]Nickel Qualified Studies'!I19),"",'[1]Nickel Qualified Studies'!I19)</f>
        <v/>
      </c>
      <c r="Q46" s="73" t="str">
        <f>IF(ISBLANK('[1]Nickel Qualified Studies'!J19),"",'[1]Nickel Qualified Studies'!J19)</f>
        <v/>
      </c>
      <c r="R46" s="73" t="str">
        <f>IF(ISBLANK('[1]Nickel Qualified Studies'!K19),"",'[1]Nickel Qualified Studies'!K19)</f>
        <v>Nickel class I</v>
      </c>
      <c r="S46" s="73" t="str">
        <f>IF(ISBLANK('[1]Nickel Qualified Studies'!L19),"",'[1]Nickel Qualified Studies'!L19)</f>
        <v/>
      </c>
      <c r="T46" s="73" t="str">
        <f>IF(ISBLANK('[1]Nickel Qualified Studies'!M19),"",'[1]Nickel Qualified Studies'!M19)</f>
        <v>Russia</v>
      </c>
      <c r="U46" s="73" t="str">
        <f>IF(ISBLANK('[1]Nickel Qualified Studies'!N19),"",'[1]Nickel Qualified Studies'!N19)</f>
        <v/>
      </c>
      <c r="V46" s="77" t="b">
        <v>0</v>
      </c>
      <c r="W46" s="78" t="s">
        <v>685</v>
      </c>
    </row>
    <row r="47" spans="2:23" ht="129.6" x14ac:dyDescent="0.3">
      <c r="G47" s="1" t="str">
        <f>IF(H47="T&amp;E Briefing","","ERROR - check row order of Notion export")</f>
        <v/>
      </c>
      <c r="H47" s="73" t="str">
        <f>IF(ISBLANK('[1]Nickel Qualified Studies'!A20),"",'[1]Nickel Qualified Studies'!A20)</f>
        <v>T&amp;E Briefing</v>
      </c>
      <c r="I47" s="73" t="str">
        <f>IF(ISBLANK('[1]Nickel Qualified Studies'!B20),"",'[1]Nickel Qualified Studies'!B20)</f>
        <v>Paving the way to cleaner nickel - Nickel in batteries and how to secure it sustainably</v>
      </c>
      <c r="J47" s="73" t="str">
        <f>IF(ISBLANK('[1]Nickel Qualified Studies'!C20),"",'[1]Nickel Qualified Studies'!C20)</f>
        <v>https://www.transportenvironment.org/discover/paving-the-way-to-cleaner-nickel/</v>
      </c>
      <c r="K47" s="73" t="str">
        <f>IF(ISBLANK('[1]Nickel Qualified Studies'!D20),"",'[1]Nickel Qualified Studies'!D20)</f>
        <v>Report</v>
      </c>
      <c r="L47" s="73" t="str">
        <f>IF(ISBLANK('[1]Nickel Qualified Studies'!E20),"",'[1]Nickel Qualified Studies'!E20)</f>
        <v>Laterite-Limonite (NC: HPAL): 28.97 [kg_CO2e/kg_Ni_in_NiSO₄·6H₂O]
Laterite-Limonite (ID: HPAL): 33.3 [kg_CO2e/kg_Ni_in_NiSO₄·6H₂O]
Laterite-Saperolite (ID: RKEF): 97.9 [kg_CO2e/kg_Ni_in_NiSO₄·6H₂O]</v>
      </c>
      <c r="M47" s="74" t="str">
        <f>IF(ISBLANK('[1]Nickel Qualified Studies'!F20),"",'[1]Nickel Qualified Studies'!F20)</f>
        <v>Laterite-Limonite (NC: HPAL): 10.9871622 [kg_CO2e/kg_NiSO4_anh]
Laterite-Limonite (ID: HPAL): 12.629358 [kg_CO2e/kg_NiSO4_anh]
Laterite-Saperolite (ID: RKEF): 37.129554 [kg_CO2e/kg_NiSO4_anh]</v>
      </c>
      <c r="N47" s="73" t="str">
        <f>IF(ISBLANK('[1]Nickel Qualified Studies'!G20),"",'[1]Nickel Qualified Studies'!G20)</f>
        <v>no</v>
      </c>
      <c r="O47" s="73" t="str">
        <f>IF(ISBLANK('[1]Nickel Qualified Studies'!H20),"",'[1]Nickel Qualified Studies'!H20)</f>
        <v>1 kg Ni in Nickel sulfate heptahydrate</v>
      </c>
      <c r="P47" s="73" t="str">
        <f>IF(ISBLANK('[1]Nickel Qualified Studies'!I20),"",'[1]Nickel Qualified Studies'!I20)</f>
        <v>unclear</v>
      </c>
      <c r="Q47" s="73" t="str">
        <f>IF(ISBLANK('[1]Nickel Qualified Studies'!J20),"",'[1]Nickel Qualified Studies'!J20)</f>
        <v>-- intransparent</v>
      </c>
      <c r="R47" s="73" t="str">
        <f>IF(ISBLANK('[1]Nickel Qualified Studies'!K20),"",'[1]Nickel Qualified Studies'!K20)</f>
        <v>Nickel sulfate</v>
      </c>
      <c r="S47" s="73" t="str">
        <f>IF(ISBLANK('[1]Nickel Qualified Studies'!L20),"",'[1]Nickel Qualified Studies'!L20)</f>
        <v>google search</v>
      </c>
      <c r="T47" s="73" t="str">
        <f>IF(ISBLANK('[1]Nickel Qualified Studies'!M20),"",'[1]Nickel Qualified Studies'!M20)</f>
        <v>Canada, China, Indonesia, New Caledonia, Russia</v>
      </c>
      <c r="U47" s="73" t="str">
        <f>IF(ISBLANK('[1]Nickel Qualified Studies'!N20),"",'[1]Nickel Qualified Studies'!N20)</f>
        <v>Not specified</v>
      </c>
      <c r="V47" s="79" t="b">
        <v>1</v>
      </c>
      <c r="W47" s="80"/>
    </row>
    <row r="48" spans="2:23" ht="86.4" x14ac:dyDescent="0.3">
      <c r="G48" s="1" t="str">
        <f>IF(H48="VDA Report","","ERROR - check row order of Notion export")</f>
        <v/>
      </c>
      <c r="H48" s="73" t="str">
        <f>IF(ISBLANK('[1]Nickel Qualified Studies'!A21),"",'[1]Nickel Qualified Studies'!A21)</f>
        <v>VDA Report</v>
      </c>
      <c r="I48" s="73" t="str">
        <f>IF(ISBLANK('[1]Nickel Qualified Studies'!B21),"",'[1]Nickel Qualified Studies'!B21)</f>
        <v>PRODUCT CARBON FOOTPRINT OF NICKEL
SULFATE HEXAHYDRATE PRODUCTION</v>
      </c>
      <c r="J48" s="73" t="str">
        <f>IF(ISBLANK('[1]Nickel Qualified Studies'!C21),"",'[1]Nickel Qualified Studies'!C21)</f>
        <v>https://26877240.fs1.hubspotusercontent-eu1.net/hubfs/26877240/Client%20Projects/VDA_Nickel_Sulfate_Hexahydrate_LCA_Report_2023.pdf</v>
      </c>
      <c r="K48" s="73" t="str">
        <f>IF(ISBLANK('[1]Nickel Qualified Studies'!D21),"",'[1]Nickel Qualified Studies'!D21)</f>
        <v>Report</v>
      </c>
      <c r="L48" s="73" t="str">
        <f>IF(ISBLANK('[1]Nickel Qualified Studies'!E21),"",'[1]Nickel Qualified Studies'!E21)</f>
        <v>Laterite-Limonite (ID: HPAL): 33.3 [kg_CO2e/kg_Ni_in_NiSO₄·6H₂O]
Laterite-Saperolite (ID: RKEF): 97.9 [kg_CO2e/kg_Ni_in_NiSO₄·6H₂O]</v>
      </c>
      <c r="M48" s="74" t="str">
        <f>IF(ISBLANK('[1]Nickel Qualified Studies'!F21),"",'[1]Nickel Qualified Studies'!F21)</f>
        <v>Laterite-Limonite (ID: HPAL): 12.629358 [kg_CO2e/kg_NiSO4_anh]_x000D_
Laterite-Saperolite (ID: RKEF): 37.129554 [kg_CO2e/kg_NiSO4_anh]</v>
      </c>
      <c r="N48" s="73" t="str">
        <f>IF(ISBLANK('[1]Nickel Qualified Studies'!G21),"",'[1]Nickel Qualified Studies'!G21)</f>
        <v>no</v>
      </c>
      <c r="O48" s="73" t="str">
        <f>IF(ISBLANK('[1]Nickel Qualified Studies'!H21),"",'[1]Nickel Qualified Studies'!H21)</f>
        <v>1 kg Ni in Nickel sulfate heptahydrate</v>
      </c>
      <c r="P48" s="73" t="str">
        <f>IF(ISBLANK('[1]Nickel Qualified Studies'!I21),"",'[1]Nickel Qualified Studies'!I21)</f>
        <v>see screenshot</v>
      </c>
      <c r="Q48" s="73" t="str">
        <f>IF(ISBLANK('[1]Nickel Qualified Studies'!J21),"",'[1]Nickel Qualified Studies'!J21)</f>
        <v>- intransparent</v>
      </c>
      <c r="R48" s="73" t="str">
        <f>IF(ISBLANK('[1]Nickel Qualified Studies'!K21),"",'[1]Nickel Qualified Studies'!K21)</f>
        <v>Nickel sulfate</v>
      </c>
      <c r="S48" s="73" t="str">
        <f>IF(ISBLANK('[1]Nickel Qualified Studies'!L21),"",'[1]Nickel Qualified Studies'!L21)</f>
        <v>google search</v>
      </c>
      <c r="T48" s="73" t="str">
        <f>IF(ISBLANK('[1]Nickel Qualified Studies'!M21),"",'[1]Nickel Qualified Studies'!M21)</f>
        <v>China, Indonesia</v>
      </c>
      <c r="U48" s="73" t="str">
        <f>IF(ISBLANK('[1]Nickel Qualified Studies'!N21),"",'[1]Nickel Qualified Studies'!N21)</f>
        <v>Not specified</v>
      </c>
      <c r="V48" s="79" t="b">
        <v>1</v>
      </c>
      <c r="W48" s="80"/>
    </row>
    <row r="49" spans="8:23" x14ac:dyDescent="0.3">
      <c r="H49" s="73" t="str">
        <f>IF(ISBLANK('[1]Nickel Qualified Studies'!A22),"",'[1]Nickel Qualified Studies'!A22)</f>
        <v/>
      </c>
      <c r="I49" s="73" t="str">
        <f>IF(ISBLANK('[1]Nickel Qualified Studies'!B22),"",'[1]Nickel Qualified Studies'!B22)</f>
        <v/>
      </c>
      <c r="J49" s="73" t="str">
        <f>IF(ISBLANK('[1]Nickel Qualified Studies'!C22),"",'[1]Nickel Qualified Studies'!C22)</f>
        <v/>
      </c>
      <c r="K49" s="73" t="str">
        <f>IF(ISBLANK('[1]Nickel Qualified Studies'!D22),"",'[1]Nickel Qualified Studies'!D22)</f>
        <v/>
      </c>
      <c r="L49" s="73" t="str">
        <f>IF(ISBLANK('[1]Nickel Qualified Studies'!E22),"",'[1]Nickel Qualified Studies'!E22)</f>
        <v/>
      </c>
      <c r="M49" s="73" t="str">
        <f>IF(ISBLANK('[1]Nickel Qualified Studies'!F22),"",'[1]Nickel Qualified Studies'!F22)</f>
        <v/>
      </c>
      <c r="N49" s="73" t="str">
        <f>IF(ISBLANK('[1]Nickel Qualified Studies'!G22),"",'[1]Nickel Qualified Studies'!G22)</f>
        <v/>
      </c>
      <c r="O49" s="73" t="str">
        <f>IF(ISBLANK('[1]Nickel Qualified Studies'!H22),"",'[1]Nickel Qualified Studies'!H22)</f>
        <v/>
      </c>
      <c r="P49" s="73" t="str">
        <f>IF(ISBLANK('[1]Nickel Qualified Studies'!I22),"",'[1]Nickel Qualified Studies'!I22)</f>
        <v/>
      </c>
      <c r="Q49" s="73" t="str">
        <f>IF(ISBLANK('[1]Nickel Qualified Studies'!J22),"",'[1]Nickel Qualified Studies'!J22)</f>
        <v/>
      </c>
      <c r="R49" s="73" t="str">
        <f>IF(ISBLANK('[1]Nickel Qualified Studies'!K22),"",'[1]Nickel Qualified Studies'!K22)</f>
        <v/>
      </c>
      <c r="S49" s="73" t="str">
        <f>IF(ISBLANK('[1]Nickel Qualified Studies'!L22),"",'[1]Nickel Qualified Studies'!L22)</f>
        <v/>
      </c>
      <c r="T49" s="73" t="str">
        <f>IF(ISBLANK('[1]Nickel Qualified Studies'!M22),"",'[1]Nickel Qualified Studies'!M22)</f>
        <v/>
      </c>
      <c r="U49" s="73" t="str">
        <f>IF(ISBLANK('[1]Nickel Qualified Studies'!N22),"",'[1]Nickel Qualified Studies'!N22)</f>
        <v/>
      </c>
      <c r="V49" s="80"/>
      <c r="W49" s="80"/>
    </row>
    <row r="50" spans="8:23" x14ac:dyDescent="0.3">
      <c r="H50" s="73" t="str">
        <f>IF(ISBLANK('[1]Nickel Qualified Studies'!A23),"",'[1]Nickel Qualified Studies'!A23)</f>
        <v/>
      </c>
      <c r="I50" s="73" t="str">
        <f>IF(ISBLANK('[1]Nickel Qualified Studies'!B23),"",'[1]Nickel Qualified Studies'!B23)</f>
        <v/>
      </c>
      <c r="J50" s="73" t="str">
        <f>IF(ISBLANK('[1]Nickel Qualified Studies'!C23),"",'[1]Nickel Qualified Studies'!C23)</f>
        <v/>
      </c>
      <c r="K50" s="73" t="str">
        <f>IF(ISBLANK('[1]Nickel Qualified Studies'!D23),"",'[1]Nickel Qualified Studies'!D23)</f>
        <v/>
      </c>
      <c r="L50" s="73" t="str">
        <f>IF(ISBLANK('[1]Nickel Qualified Studies'!E23),"",'[1]Nickel Qualified Studies'!E23)</f>
        <v/>
      </c>
      <c r="M50" s="73" t="str">
        <f>IF(ISBLANK('[1]Nickel Qualified Studies'!F23),"",'[1]Nickel Qualified Studies'!F23)</f>
        <v/>
      </c>
      <c r="N50" s="73" t="str">
        <f>IF(ISBLANK('[1]Nickel Qualified Studies'!G23),"",'[1]Nickel Qualified Studies'!G23)</f>
        <v/>
      </c>
      <c r="O50" s="73" t="str">
        <f>IF(ISBLANK('[1]Nickel Qualified Studies'!H23),"",'[1]Nickel Qualified Studies'!H23)</f>
        <v/>
      </c>
      <c r="P50" s="73" t="str">
        <f>IF(ISBLANK('[1]Nickel Qualified Studies'!I23),"",'[1]Nickel Qualified Studies'!I23)</f>
        <v/>
      </c>
      <c r="Q50" s="73" t="str">
        <f>IF(ISBLANK('[1]Nickel Qualified Studies'!J23),"",'[1]Nickel Qualified Studies'!J23)</f>
        <v/>
      </c>
      <c r="R50" s="73" t="str">
        <f>IF(ISBLANK('[1]Nickel Qualified Studies'!K23),"",'[1]Nickel Qualified Studies'!K23)</f>
        <v/>
      </c>
      <c r="S50" s="73" t="str">
        <f>IF(ISBLANK('[1]Nickel Qualified Studies'!L23),"",'[1]Nickel Qualified Studies'!L23)</f>
        <v/>
      </c>
      <c r="T50" s="73" t="str">
        <f>IF(ISBLANK('[1]Nickel Qualified Studies'!M23),"",'[1]Nickel Qualified Studies'!M23)</f>
        <v/>
      </c>
      <c r="U50" s="73" t="str">
        <f>IF(ISBLANK('[1]Nickel Qualified Studies'!N23),"",'[1]Nickel Qualified Studies'!N23)</f>
        <v/>
      </c>
      <c r="V50" s="80"/>
      <c r="W50" s="80"/>
    </row>
    <row r="51" spans="8:23" x14ac:dyDescent="0.3">
      <c r="H51" s="1"/>
      <c r="I51" s="1"/>
      <c r="J51" s="1"/>
      <c r="K51" s="1"/>
      <c r="L51" s="1"/>
      <c r="M51" s="1"/>
      <c r="N51" s="1"/>
      <c r="O51" s="1"/>
      <c r="P51" s="1"/>
      <c r="Q51" s="1"/>
      <c r="R51" s="1"/>
      <c r="S51" s="1"/>
      <c r="T51" s="1"/>
      <c r="U51" s="1"/>
      <c r="V51" s="1"/>
      <c r="W51" s="1"/>
    </row>
  </sheetData>
  <mergeCells count="3">
    <mergeCell ref="H27:U27"/>
    <mergeCell ref="V27:W27"/>
    <mergeCell ref="A1:F1"/>
  </mergeCells>
  <conditionalFormatting sqref="G1:G1048576">
    <cfRule type="containsText" dxfId="7" priority="2" operator="containsText" text="ERROR">
      <formula>NOT(ISERROR(SEARCH("ERROR",G1)))</formula>
    </cfRule>
  </conditionalFormatting>
  <conditionalFormatting sqref="H51:W51">
    <cfRule type="containsText" dxfId="6" priority="1" operator="containsText" text="ERROR">
      <formula>NOT(ISERROR(SEARCH("ERROR",H51)))</formula>
    </cfRule>
  </conditionalFormatting>
  <pageMargins left="0.7" right="0.7" top="0.78740157499999996" bottom="0.78740157499999996"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82B36-469E-47EE-938A-D52B9D6E6522}">
  <dimension ref="A1:AK52"/>
  <sheetViews>
    <sheetView zoomScale="70" zoomScaleNormal="70" workbookViewId="0">
      <selection sqref="A1:C1"/>
    </sheetView>
  </sheetViews>
  <sheetFormatPr defaultColWidth="9.109375" defaultRowHeight="14.4" x14ac:dyDescent="0.3"/>
  <cols>
    <col min="1" max="4" width="9.109375" style="1" customWidth="1"/>
    <col min="5" max="5" width="19.6640625" style="1" customWidth="1"/>
    <col min="6" max="9" width="9.109375" style="1" customWidth="1"/>
    <col min="10" max="10" width="32.33203125" style="1" customWidth="1"/>
    <col min="11" max="11" width="9.109375" style="1" customWidth="1"/>
    <col min="12" max="12" width="9.88671875" style="1" customWidth="1"/>
    <col min="13" max="17" width="9.109375" style="1" customWidth="1"/>
    <col min="18" max="18" width="10.109375" style="1" customWidth="1"/>
    <col min="19" max="19" width="15.6640625" style="1" customWidth="1"/>
    <col min="20" max="20" width="20" style="1" customWidth="1"/>
    <col min="21" max="22" width="9.109375" style="1" customWidth="1"/>
    <col min="23" max="30" width="9.109375" style="1"/>
    <col min="31" max="31" width="36" style="1" customWidth="1"/>
    <col min="32" max="16384" width="9.109375" style="1"/>
  </cols>
  <sheetData>
    <row r="1" spans="1:37" x14ac:dyDescent="0.3">
      <c r="A1" s="108" t="s">
        <v>107</v>
      </c>
      <c r="B1" s="108"/>
      <c r="C1" s="108"/>
      <c r="E1" s="88" t="s">
        <v>139</v>
      </c>
      <c r="F1" s="88"/>
      <c r="G1" s="88"/>
      <c r="H1" s="88"/>
      <c r="I1" s="88"/>
      <c r="J1" s="88"/>
      <c r="K1" s="88"/>
      <c r="L1" s="88"/>
      <c r="M1" s="88"/>
      <c r="N1" s="88"/>
      <c r="O1" s="88"/>
      <c r="P1" s="88"/>
      <c r="Q1" s="88"/>
      <c r="R1" s="88"/>
      <c r="S1" s="109" t="s">
        <v>112</v>
      </c>
      <c r="T1" s="109"/>
      <c r="V1" s="88" t="s">
        <v>144</v>
      </c>
      <c r="W1" s="88"/>
      <c r="X1" s="88"/>
      <c r="Y1" s="88"/>
      <c r="Z1" s="88"/>
      <c r="AA1" s="88"/>
      <c r="AB1" s="88"/>
      <c r="AC1" s="88"/>
      <c r="AD1" s="88"/>
      <c r="AE1" s="88"/>
    </row>
    <row r="2" spans="1:37" ht="19.95" customHeight="1" x14ac:dyDescent="0.3">
      <c r="A2" s="2" t="s">
        <v>34</v>
      </c>
      <c r="B2" s="2" t="s">
        <v>135</v>
      </c>
      <c r="C2" s="2" t="s">
        <v>65</v>
      </c>
      <c r="D2" s="1" t="s">
        <v>35</v>
      </c>
      <c r="E2" s="3" t="str">
        <f>IF(ISBLANK('[1]Lithium Qualified Studies'!A1),"",'[1]Lithium Qualified Studies'!A1)</f>
        <v>Source</v>
      </c>
      <c r="F2" s="3" t="str">
        <f>IF(ISBLANK('[1]Lithium Qualified Studies'!B1),"",'[1]Lithium Qualified Studies'!B1)</f>
        <v>Title</v>
      </c>
      <c r="G2" s="3" t="str">
        <f>IF(ISBLANK('[1]Lithium Qualified Studies'!C1),"",'[1]Lithium Qualified Studies'!C1)</f>
        <v>Link</v>
      </c>
      <c r="H2" s="3" t="str">
        <f>IF(ISBLANK('[1]Lithium Qualified Studies'!D1),"",'[1]Lithium Qualified Studies'!D1)</f>
        <v>Source type</v>
      </c>
      <c r="I2" s="3" t="str">
        <f>IF(ISBLANK('[1]Lithium Qualified Studies'!E1),"",'[1]Lithium Qualified Studies'!E1)</f>
        <v>Total emissions [kgCO2eq/kg]</v>
      </c>
      <c r="J2" s="3" t="str">
        <f>IF(ISBLANK('[1]Lithium Qualified Studies'!F1),"",'[1]Lithium Qualified Studies'!F1)</f>
        <v>Harmonised emissions [kg CO2eq/kg]</v>
      </c>
      <c r="K2" s="3" t="str">
        <f>IF(ISBLANK('[1]Lithium Qualified Studies'!G1),"",'[1]Lithium Qualified Studies'!G1)</f>
        <v>Primary data?</v>
      </c>
      <c r="L2" s="3" t="str">
        <f>IF(ISBLANK('[1]Lithium Qualified Studies'!H1),"",'[1]Lithium Qualified Studies'!H1)</f>
        <v>Functional unit?</v>
      </c>
      <c r="M2" s="3" t="str">
        <f>IF(ISBLANK('[1]Lithium Qualified Studies'!I1),"",'[1]Lithium Qualified Studies'!I1)</f>
        <v>System boundaries</v>
      </c>
      <c r="N2" s="3" t="str">
        <f>IF(ISBLANK('[1]Lithium Qualified Studies'!J1),"",'[1]Lithium Qualified Studies'!J1)</f>
        <v>Methodological transparency</v>
      </c>
      <c r="O2" s="3" t="str">
        <f>IF(ISBLANK('[1]Lithium Qualified Studies'!K1),"",'[1]Lithium Qualified Studies'!K1)</f>
        <v>Process / ore type?</v>
      </c>
      <c r="P2" s="3" t="str">
        <f>IF(ISBLANK('[1]Lithium Qualified Studies'!L1),"",'[1]Lithium Qualified Studies'!L1)</f>
        <v>Found via</v>
      </c>
      <c r="Q2" s="3" t="str">
        <f>IF(ISBLANK('[1]Lithium Qualified Studies'!M1),"",'[1]Lithium Qualified Studies'!M1)</f>
        <v>Location of production</v>
      </c>
      <c r="R2" s="3" t="str">
        <f>IF(ISBLANK('[1]Lithium Qualified Studies'!N1),"",'[1]Lithium Qualified Studies'!N1)</f>
        <v>Mine</v>
      </c>
      <c r="S2" s="4" t="s">
        <v>105</v>
      </c>
      <c r="T2" s="5" t="s">
        <v>109</v>
      </c>
      <c r="U2" s="6" t="s">
        <v>35</v>
      </c>
      <c r="V2" s="7" t="str">
        <f>IF(ISBLANK('[1]Lithium Peripheral Studies'!A1),"",'[1]Lithium Peripheral Studies'!A1)</f>
        <v>Source</v>
      </c>
      <c r="W2" s="7" t="str">
        <f>IF(ISBLANK('[1]Lithium Peripheral Studies'!B1),"",'[1]Lithium Peripheral Studies'!B1)</f>
        <v>Title</v>
      </c>
      <c r="X2" s="7" t="str">
        <f>IF(ISBLANK('[1]Lithium Peripheral Studies'!C1),"",'[1]Lithium Peripheral Studies'!C1)</f>
        <v>Link</v>
      </c>
      <c r="Y2" s="7" t="str">
        <f>IF(ISBLANK('[1]Lithium Peripheral Studies'!D1),"",'[1]Lithium Peripheral Studies'!D1)</f>
        <v>Source type</v>
      </c>
      <c r="Z2" s="7" t="str">
        <f>IF(ISBLANK('[1]Lithium Peripheral Studies'!E1),"",'[1]Lithium Peripheral Studies'!E1)</f>
        <v>Total emissions</v>
      </c>
      <c r="AA2" s="7" t="str">
        <f>IF(ISBLANK('[1]Lithium Peripheral Studies'!F1),"",'[1]Lithium Peripheral Studies'!F1)</f>
        <v>Primary data?</v>
      </c>
      <c r="AB2" s="7" t="str">
        <f>IF(ISBLANK('[1]Lithium Peripheral Studies'!G1),"",'[1]Lithium Peripheral Studies'!G1)</f>
        <v>Functional unit?</v>
      </c>
      <c r="AC2" s="7" t="str">
        <f>IF(ISBLANK('[1]Lithium Peripheral Studies'!H1),"",'[1]Lithium Peripheral Studies'!H1)</f>
        <v>System boundaries</v>
      </c>
      <c r="AD2" s="7" t="str">
        <f>IF(ISBLANK('[1]Lithium Peripheral Studies'!I1),"",'[1]Lithium Peripheral Studies'!I1)</f>
        <v>Methodological transparency</v>
      </c>
      <c r="AE2" s="7" t="str">
        <f>IF(ISBLANK('[1]Lithium Peripheral Studies'!J1),"",'[1]Lithium Peripheral Studies'!J1)</f>
        <v>Process / ore type?</v>
      </c>
      <c r="AF2" s="6"/>
      <c r="AG2" s="6"/>
      <c r="AH2" s="6"/>
      <c r="AI2" s="6"/>
      <c r="AJ2" s="6"/>
      <c r="AK2" s="6"/>
    </row>
    <row r="3" spans="1:37" ht="27.45" customHeight="1" x14ac:dyDescent="0.3">
      <c r="A3" s="2" t="s">
        <v>119</v>
      </c>
      <c r="B3" s="2">
        <v>3.4</v>
      </c>
      <c r="C3" s="2" t="s">
        <v>66</v>
      </c>
      <c r="D3" s="1" t="str">
        <f>IF(E3="Schenker et al. (2022)","","ERROR - check row order of Notion export")</f>
        <v/>
      </c>
      <c r="E3" s="3" t="str">
        <f>IF(ISBLANK('[1]Lithium Qualified Studies'!A2),"",'[1]Lithium Qualified Studies'!A2)</f>
        <v>Schenker et al. (2022)</v>
      </c>
      <c r="F3" s="3" t="str">
        <f>IF(ISBLANK('[1]Lithium Qualified Studies'!B2),"",'[1]Lithium Qualified Studies'!B2)</f>
        <v>Regionalized life cycle assessment of present and future lithium production for Li-ion batteries</v>
      </c>
      <c r="G3" s="3" t="str">
        <f>IF(ISBLANK('[1]Lithium Qualified Studies'!C2),"",'[1]Lithium Qualified Studies'!C2)</f>
        <v>https://doi.org/10.1016/j.resconrec.2022.106611</v>
      </c>
      <c r="H3" s="3" t="str">
        <f>IF(ISBLANK('[1]Lithium Qualified Studies'!D2),"",'[1]Lithium Qualified Studies'!D2)</f>
        <v>Literature</v>
      </c>
      <c r="I3" s="3" t="str">
        <f>IF(ISBLANK('[1]Lithium Qualified Studies'!E2),"",'[1]Lithium Qualified Studies'!E2)</f>
        <v>Salar de Atacama: 3.4 kg CO2eq/kg Li2CO3
Salar de Olaroz: 7.4 kg CO2eq/kg Li2CO3
Chaerhan salt lake: 31.6 kg CO2eq/kg Li2CO3
Salar de Cauchari-Olaroz: 7.7 kg CO2eq/kg Li2CO3 
Salar del Hombre Muerto (North): 8 kg CO2eq/kg Li2CO3</v>
      </c>
      <c r="J3" s="7" t="str">
        <f>IF(ISBLANK('[1]Lithium Qualified Studies'!F2),"",'[1]Lithium Qualified Studies'!F2)</f>
        <v>Salar de Atacama: 3.4 kg CO2eq/kg Li2CO3
Salar de Olaroz: 7.4 kg CO2eq/kg Li2CO3
Chaerhan salt lake: 31.6 kg CO2eq/kg Li2CO3</v>
      </c>
      <c r="K3" s="3" t="str">
        <f>IF(ISBLANK('[1]Lithium Qualified Studies'!G2),"",'[1]Lithium Qualified Studies'!G2)</f>
        <v>No → calculate in- and outputs needed for the production processes from the chemical composition of the brine and the stochiometry and thermodynamics of these processes based on literature review</v>
      </c>
      <c r="L3" s="3" t="str">
        <f>IF(ISBLANK('[1]Lithium Qualified Studies'!H2),"",'[1]Lithium Qualified Studies'!H2)</f>
        <v>1 kg Li2CO3 (battery grade)</v>
      </c>
      <c r="M3" s="3" t="str">
        <f>IF(ISBLANK('[1]Lithium Qualified Studies'!I2),"",'[1]Lithium Qualified Studies'!I2)</f>
        <v xml:space="preserve">cradle-to-gate approach
</v>
      </c>
      <c r="N3" s="3" t="str">
        <f>IF(ISBLANK('[1]Lithium Qualified Studies'!J2),"",'[1]Lithium Qualified Studies'!J2)</f>
        <v>++ transparent</v>
      </c>
      <c r="O3" s="3" t="str">
        <f>IF(ISBLANK('[1]Lithium Qualified Studies'!K2),"",'[1]Lithium Qualified Studies'!K2)</f>
        <v>Brine, Li2CO3</v>
      </c>
      <c r="P3" s="3" t="str">
        <f>IF(ISBLANK('[1]Lithium Qualified Studies'!L2),"",'[1]Lithium Qualified Studies'!L2)</f>
        <v>Vanessa, systematic lit rev</v>
      </c>
      <c r="Q3" s="3" t="str">
        <f>IF(ISBLANK('[1]Lithium Qualified Studies'!M2),"",'[1]Lithium Qualified Studies'!M2)</f>
        <v>Argentina, Chile, China</v>
      </c>
      <c r="R3" s="3" t="str">
        <f>IF(ISBLANK('[1]Lithium Qualified Studies'!N2),"",'[1]Lithium Qualified Studies'!N2)</f>
        <v>Chaerhan Lake, Salar de Atacama, Salar de Cauchari-Olaroz, Salar de Olaroz, Salar del Hombre Muerto</v>
      </c>
      <c r="S3" s="8" t="b">
        <v>1</v>
      </c>
      <c r="T3" s="5"/>
      <c r="U3" s="6" t="s">
        <v>35</v>
      </c>
      <c r="V3" s="7" t="str">
        <f>IF(ISBLANK('[1]Lithium Peripheral Studies'!A2),"",'[1]Lithium Peripheral Studies'!A2)</f>
        <v>Li et al. (2020)</v>
      </c>
      <c r="W3" s="7" t="str">
        <f>IF(ISBLANK('[1]Lithium Peripheral Studies'!B2),"",'[1]Lithium Peripheral Studies'!B2)</f>
        <v>Life cycle assessment considering water-energy nexus for lithium nanofiltration extraction technique</v>
      </c>
      <c r="X3" s="7" t="str">
        <f>IF(ISBLANK('[1]Lithium Peripheral Studies'!C2),"",'[1]Lithium Peripheral Studies'!C2)</f>
        <v>https://doi.org/10.1016/j.jclepro.2020.121152</v>
      </c>
      <c r="Y3" s="7" t="str">
        <f>IF(ISBLANK('[1]Lithium Peripheral Studies'!D2),"",'[1]Lithium Peripheral Studies'!D2)</f>
        <v>Literature</v>
      </c>
      <c r="Z3" s="7" t="str">
        <f>IF(ISBLANK('[1]Lithium Peripheral Studies'!E2),"",'[1]Lithium Peripheral Studies'!E2)</f>
        <v>Only reportet for each process stage:
1.56 × 10−2 kg CO2 eq nanofiltration, 1.08 × 10−2 kg CO2 eq hyperfiltration, 2.59 × 10−3 kg CO2 eq electrodialysis 
Total: 5.23 × 10−2 kg CO2 eq</v>
      </c>
      <c r="AA3" s="7" t="str">
        <f>IF(ISBLANK('[1]Lithium Peripheral Studies'!F2),"",'[1]Lithium Peripheral Studies'!F2)</f>
        <v>No → “The LCI was derived from the previous study (https://www.sciencedirect.com/science/article/pii/S0959652620311999?via%3Dihub#bib17; https://www.sciencedirect.com/science/article/pii/S0959652620311999?via%3Dihub#bib29)”</v>
      </c>
      <c r="AB3" s="7" t="str">
        <f>IF(ISBLANK('[1]Lithium Peripheral Studies'!G2),"",'[1]Lithium Peripheral Studies'!G2)</f>
        <v>1 kg Li2CO3 product</v>
      </c>
      <c r="AC3" s="7" t="str">
        <f>IF(ISBLANK('[1]Lithium Peripheral Studies'!H2),"",'[1]Lithium Peripheral Studies'!H2)</f>
        <v>see screenshot</v>
      </c>
      <c r="AD3" s="7" t="str">
        <f>IF(ISBLANK('[1]Lithium Peripheral Studies'!I2),"",'[1]Lithium Peripheral Studies'!I2)</f>
        <v>- intransparent</v>
      </c>
      <c r="AE3" s="7" t="str">
        <f>IF(ISBLANK('[1]Lithium Peripheral Studies'!J2),"",'[1]Lithium Peripheral Studies'!J2)</f>
        <v>Brine, Li2CO3</v>
      </c>
    </row>
    <row r="4" spans="1:37" ht="19.95" customHeight="1" x14ac:dyDescent="0.3">
      <c r="A4" s="2" t="s">
        <v>120</v>
      </c>
      <c r="B4" s="2">
        <v>7.7</v>
      </c>
      <c r="C4" s="2" t="s">
        <v>66</v>
      </c>
      <c r="D4" s="1" t="str">
        <f>IF(E4="Ambrose and Kendall (2019)","","ERROR - check row order of Notion export")</f>
        <v/>
      </c>
      <c r="E4" s="3" t="str">
        <f>IF(ISBLANK('[1]Lithium Qualified Studies'!A3),"",'[1]Lithium Qualified Studies'!A3)</f>
        <v>Ambrose and Kendall (2019)</v>
      </c>
      <c r="F4" s="3" t="str">
        <f>IF(ISBLANK('[1]Lithium Qualified Studies'!B3),"",'[1]Lithium Qualified Studies'!B3)</f>
        <v>Understanding the future of lithium: Part 2, temporally and spatially resolved life-cycle assessment modeling</v>
      </c>
      <c r="G4" s="3" t="str">
        <f>IF(ISBLANK('[1]Lithium Qualified Studies'!C3),"",'[1]Lithium Qualified Studies'!C3)</f>
        <v>https://doi.org/10.1111/jiec.12942</v>
      </c>
      <c r="H4" s="3" t="str">
        <f>IF(ISBLANK('[1]Lithium Qualified Studies'!D3),"",'[1]Lithium Qualified Studies'!D3)</f>
        <v>Literature</v>
      </c>
      <c r="I4" s="3" t="str">
        <f>IF(ISBLANK('[1]Lithium Qualified Studies'!E3),"",'[1]Lithium Qualified Studies'!E3)</f>
        <v>High-grade Pegmatite: 2,282262864 kg CO2eq
Low-grade Pegmatite: 2,67
Low-grade Rock Minerals: 3,32 kg CO2eq
High-grade Brine: 3,06 kg CO2eq
Low-grade Brine: 3,97 kg CO2eq
Low-grade Brine/Unfavorable Conditions: 5,28 kg CO2eq</v>
      </c>
      <c r="J4" s="3" t="str">
        <f>IF(ISBLANK('[1]Lithium Qualified Studies'!F3),"",'[1]Lithium Qualified Studies'!F3)</f>
        <v>High-grade Pegmatite: 2,282262864 kg CO2eq/kg Li2CO3eq
Low-grade Pegmatite: 2,67 kg CO2eq/kg Li2CO3
Low-grade Rock Minerals: 3,32 kg CO2eq/kg Li2CO3
High-grade Brine: 3,06 kg CO2eq/kg Li2CO3
Low-grade Brine: 3,97 kg CO2eq/kg Li2CO3
Low-grade Brine/Unfavorable Conditions: 5,28 kg CO2eq/kg Li2CO3</v>
      </c>
      <c r="K4" s="3" t="str">
        <f>IF(ISBLANK('[1]Lithium Qualified Studies'!G3),"",'[1]Lithium Qualified Studies'!G3)</f>
        <v>No → “Throughput, efficiency, and material and energy inputs are estimated based on company reporting, patents, and prior studies”</v>
      </c>
      <c r="L4" s="3" t="str">
        <f>IF(ISBLANK('[1]Lithium Qualified Studies'!H3),"",'[1]Lithium Qualified Studies'!H3)</f>
        <v>1 kg of battery grade lithium carbonate equivalent (≥99% Li2CO3 by content)</v>
      </c>
      <c r="M4" s="3" t="str">
        <f>IF(ISBLANK('[1]Lithium Qualified Studies'!I3),"",'[1]Lithium Qualified Studies'!I3)</f>
        <v>from mine to processor or refining gate
→ Screenshot</v>
      </c>
      <c r="N4" s="3" t="str">
        <f>IF(ISBLANK('[1]Lithium Qualified Studies'!J3),"",'[1]Lithium Qualified Studies'!J3)</f>
        <v>- intransparent</v>
      </c>
      <c r="O4" s="3" t="str">
        <f>IF(ISBLANK('[1]Lithium Qualified Studies'!K3),"",'[1]Lithium Qualified Studies'!K3)</f>
        <v>Brine, Li2CO3, Minerals</v>
      </c>
      <c r="P4" s="3" t="str">
        <f>IF(ISBLANK('[1]Lithium Qualified Studies'!L3),"",'[1]Lithium Qualified Studies'!L3)</f>
        <v>Vanessa, systematic lit rev</v>
      </c>
      <c r="Q4" s="3" t="str">
        <f>IF(ISBLANK('[1]Lithium Qualified Studies'!M3),"",'[1]Lithium Qualified Studies'!M3)</f>
        <v>Global</v>
      </c>
      <c r="R4" s="3" t="str">
        <f>IF(ISBLANK('[1]Lithium Qualified Studies'!N3),"",'[1]Lithium Qualified Studies'!N3)</f>
        <v/>
      </c>
      <c r="S4" s="8" t="b">
        <v>1</v>
      </c>
      <c r="T4" s="5"/>
      <c r="U4" s="6" t="s">
        <v>35</v>
      </c>
      <c r="V4" s="7" t="str">
        <f>IF(ISBLANK('[1]Lithium Peripheral Studies'!A3),"",'[1]Lithium Peripheral Studies'!A3)</f>
        <v>Khakmardan et al (2023)</v>
      </c>
      <c r="W4" s="7" t="str">
        <f>IF(ISBLANK('[1]Lithium Peripheral Studies'!B3),"",'[1]Lithium Peripheral Studies'!B3)</f>
        <v>Comparative Life Cycle Assessment of Lithium Mining, Extraction, and Refining Technologies: a Global Perspective</v>
      </c>
      <c r="X4" s="7" t="str">
        <f>IF(ISBLANK('[1]Lithium Peripheral Studies'!C3),"",'[1]Lithium Peripheral Studies'!C3)</f>
        <v>https://doi.org/10.1016/j.procir.2023.02.102</v>
      </c>
      <c r="Y4" s="7" t="str">
        <f>IF(ISBLANK('[1]Lithium Peripheral Studies'!D3),"",'[1]Lithium Peripheral Studies'!D3)</f>
        <v>Literature</v>
      </c>
      <c r="Z4" s="7" t="str">
        <f>IF(ISBLANK('[1]Lithium Peripheral Studies'!E3),"",'[1]Lithium Peripheral Studies'!E3)</f>
        <v>see screenshot</v>
      </c>
      <c r="AA4" s="7" t="str">
        <f>IF(ISBLANK('[1]Lithium Peripheral Studies'!F3),"",'[1]Lithium Peripheral Studies'!F3)</f>
        <v>No → “The life cycle inventory analysis was completed by using
mainly existing literature and publicly available technical
reports, supplemented by EcoInvent.”</v>
      </c>
      <c r="AB4" s="7" t="str">
        <f>IF(ISBLANK('[1]Lithium Peripheral Studies'!G3),"",'[1]Lithium Peripheral Studies'!G3)</f>
        <v>one metric ton of battery-grade Lithium Carbonate
Equivalent (LCE)</v>
      </c>
      <c r="AC4" s="7" t="str">
        <f>IF(ISBLANK('[1]Lithium Peripheral Studies'!H3),"",'[1]Lithium Peripheral Studies'!H3)</f>
        <v>cradle to gate → see screenshot</v>
      </c>
      <c r="AD4" s="7" t="str">
        <f>IF(ISBLANK('[1]Lithium Peripheral Studies'!I3),"",'[1]Lithium Peripheral Studies'!I3)</f>
        <v>-- intransparent</v>
      </c>
      <c r="AE4" s="7" t="str">
        <f>IF(ISBLANK('[1]Lithium Peripheral Studies'!J3),"",'[1]Lithium Peripheral Studies'!J3)</f>
        <v>Brine, Li2CO3, Minerals</v>
      </c>
    </row>
    <row r="5" spans="1:37" ht="19.95" customHeight="1" x14ac:dyDescent="0.3">
      <c r="A5" s="2" t="s">
        <v>121</v>
      </c>
      <c r="B5" s="2">
        <v>31.6</v>
      </c>
      <c r="C5" s="2" t="s">
        <v>66</v>
      </c>
      <c r="D5" s="1" t="str">
        <f>IF(E5="Kelly et al. (2021)","","ERROR - check row order of Notion export")</f>
        <v/>
      </c>
      <c r="E5" s="3" t="str">
        <f>IF(ISBLANK('[1]Lithium Qualified Studies'!A4),"",'[1]Lithium Qualified Studies'!A4)</f>
        <v>Kelly et al. (2021)</v>
      </c>
      <c r="F5" s="3" t="str">
        <f>IF(ISBLANK('[1]Lithium Qualified Studies'!B4),"",'[1]Lithium Qualified Studies'!B4)</f>
        <v>Energy, greenhouse gas, and water life cycle analysis of lithium carbonate and lithium hydroxide monohydrate from brine and ore resources and their use in lithium ion battery cathodes and lithium ion batteries</v>
      </c>
      <c r="G5" s="3" t="str">
        <f>IF(ISBLANK('[1]Lithium Qualified Studies'!C4),"",'[1]Lithium Qualified Studies'!C4)</f>
        <v>https://doi.org/10.1016/j.resconrec.2021.105762</v>
      </c>
      <c r="H5" s="3" t="str">
        <f>IF(ISBLANK('[1]Lithium Qualified Studies'!D4),"",'[1]Lithium Qualified Studies'!D4)</f>
        <v>Literature</v>
      </c>
      <c r="I5" s="3" t="str">
        <f>IF(ISBLANK('[1]Lithium Qualified Studies'!E4),"",'[1]Lithium Qualified Studies'!E4)</f>
        <v>They report values for Li2CO3 and LiOH•H2O from brine with 4 allocation methods and from ore:
Li2CO3 
brine: 
mass: 2.7 tonne CO2e/tonne
value: 3.1 tonne CO2e/tonne
product: 2.9 tonne CO2e/tonne
process: 2.8 tonne CO2e/tonne
ore: 20.4 tonne CO2e/tonne
LiOH•H2O
brine: 
mass: 6.9 tonne CO2e/tonne
value: 7.3 tonne CO2e/tonne
product: 7.1 tonne CO2e/tonne
process: 7.0 tonne CO2e/tonne
ore: 15.7 tonne CO2e/tonne</v>
      </c>
      <c r="J5" s="3" t="str">
        <f>IF(ISBLANK('[1]Lithium Qualified Studies'!F4),"",'[1]Lithium Qualified Studies'!F4)</f>
        <v>Li2CO3 
brine: 
mass: 2.7 kg CO2eq/kg Li2CO3
value: 3.1 kg CO2eq/kg Li2CO3
product: 2.9 kg CO2eq/kg Li2CO3
process: 2.8 kg CO2eq/kg Li2CO3
ore: 20.4 kg CO2eq/kg Li2CO3
LiOH•H2O
brine: 
mass: 6.9  kg CO2 eq / kg LiOH⋅H2O
value: 7.3  kg CO2 eq / kg LiOH⋅H2O
product: 7.1  kg CO2 eq / kg LiOH⋅H2O
process: 7.0  kg CO2 eq / kg LiOH⋅H2O
ore: 15.7  kg CO2 eq / kg LiOH⋅H2O</v>
      </c>
      <c r="K5" s="3" t="str">
        <f>IF(ISBLANK('[1]Lithium Qualified Studies'!G4),"",'[1]Lithium Qualified Studies'!G4)</f>
        <v>Yes → production from brine is based on primary data, production from ore is based on a combination of the literature, engineering estimation, and primary data</v>
      </c>
      <c r="L5" s="3" t="str">
        <f>IF(ISBLANK('[1]Lithium Qualified Studies'!H4),"",'[1]Lithium Qualified Studies'!H4)</f>
        <v>1 tonne of battery-grade product (Li2CO3 or LiOH•H2O)</v>
      </c>
      <c r="M5" s="3" t="str">
        <f>IF(ISBLANK('[1]Lithium Qualified Studies'!I4),"",'[1]Lithium Qualified Studies'!I4)</f>
        <v>cradle to gate → screenshot</v>
      </c>
      <c r="N5" s="3" t="str">
        <f>IF(ISBLANK('[1]Lithium Qualified Studies'!J4),"",'[1]Lithium Qualified Studies'!J4)</f>
        <v>++ transparent</v>
      </c>
      <c r="O5" s="3" t="str">
        <f>IF(ISBLANK('[1]Lithium Qualified Studies'!K4),"",'[1]Lithium Qualified Studies'!K4)</f>
        <v>Brine, Li2CO3, LiOH ∗ H2O, Minerals</v>
      </c>
      <c r="P5" s="3" t="str">
        <f>IF(ISBLANK('[1]Lithium Qualified Studies'!L4),"",'[1]Lithium Qualified Studies'!L4)</f>
        <v>Vanessa, systematic lit rev</v>
      </c>
      <c r="Q5" s="3" t="str">
        <f>IF(ISBLANK('[1]Lithium Qualified Studies'!M4),"",'[1]Lithium Qualified Studies'!M4)</f>
        <v>Australia, Chile, China, Global</v>
      </c>
      <c r="R5" s="3" t="str">
        <f>IF(ISBLANK('[1]Lithium Qualified Studies'!N4),"",'[1]Lithium Qualified Studies'!N4)</f>
        <v>Salar de Atacama</v>
      </c>
      <c r="S5" s="8" t="b">
        <v>1</v>
      </c>
      <c r="T5" s="9"/>
      <c r="U5" s="6" t="s">
        <v>35</v>
      </c>
      <c r="V5" s="7" t="str">
        <f>IF(ISBLANK('[1]Lithium Peripheral Studies'!A4),"",'[1]Lithium Peripheral Studies'!A4)</f>
        <v>Manjong et al. (2021)</v>
      </c>
      <c r="W5" s="7" t="str">
        <f>IF(ISBLANK('[1]Lithium Peripheral Studies'!B4),"",'[1]Lithium Peripheral Studies'!B4)</f>
        <v>Life Cycle Modelling of Extraction and Processing of Battery Minerals—A Parametric Approach</v>
      </c>
      <c r="X5" s="7" t="str">
        <f>IF(ISBLANK('[1]Lithium Peripheral Studies'!C4),"",'[1]Lithium Peripheral Studies'!C4)</f>
        <v>https://doi.org/10.3390/batteries7030057</v>
      </c>
      <c r="Y5" s="7" t="str">
        <f>IF(ISBLANK('[1]Lithium Peripheral Studies'!D4),"",'[1]Lithium Peripheral Studies'!D4)</f>
        <v>Literature</v>
      </c>
      <c r="Z5" s="7" t="str">
        <f>IF(ISBLANK('[1]Lithium Peripheral Studies'!E4),"",'[1]Lithium Peripheral Studies'!E4)</f>
        <v>Spodumene: ranges from 3.5 kg of CO2e/kg LCE to 9 kg of CO2e/kg LCE
Brine: ranges from 2 kg of CO2e/kg LCE to 6.2 kg of CO2e/kg LCE,</v>
      </c>
      <c r="AA5" s="7" t="str">
        <f>IF(ISBLANK('[1]Lithium Peripheral Studies'!F4),"",'[1]Lithium Peripheral Studies'!F4)</f>
        <v>No → take base LCA from Stamp et al. (2012)</v>
      </c>
      <c r="AB5" s="7" t="str">
        <f>IF(ISBLANK('[1]Lithium Peripheral Studies'!G4),"",'[1]Lithium Peripheral Studies'!G4)</f>
        <v>kg Lithium Carbonate Equivalent (LCE)</v>
      </c>
      <c r="AC5" s="7" t="str">
        <f>IF(ISBLANK('[1]Lithium Peripheral Studies'!H4),"",'[1]Lithium Peripheral Studies'!H4)</f>
        <v>see screenshot</v>
      </c>
      <c r="AD5" s="7" t="str">
        <f>IF(ISBLANK('[1]Lithium Peripheral Studies'!I4),"",'[1]Lithium Peripheral Studies'!I4)</f>
        <v>+ transparent</v>
      </c>
      <c r="AE5" s="7" t="str">
        <f>IF(ISBLANK('[1]Lithium Peripheral Studies'!J4),"",'[1]Lithium Peripheral Studies'!J4)</f>
        <v>Brine, Li2CO3, Minerals</v>
      </c>
    </row>
    <row r="6" spans="1:37" ht="19.95" customHeight="1" x14ac:dyDescent="0.3">
      <c r="A6" s="2" t="s">
        <v>122</v>
      </c>
      <c r="B6" s="2">
        <v>2.2822628640473388</v>
      </c>
      <c r="C6" s="2" t="s">
        <v>66</v>
      </c>
      <c r="D6" s="1" t="str">
        <f>IF(E6="Stamp et al. (2012)","","ERROR - check row order of Notion export")</f>
        <v/>
      </c>
      <c r="E6" s="3" t="str">
        <f>IF(ISBLANK('[1]Lithium Qualified Studies'!A5),"",'[1]Lithium Qualified Studies'!A5)</f>
        <v>Stamp et al. (2012)</v>
      </c>
      <c r="F6" s="3" t="str">
        <f>IF(ISBLANK('[1]Lithium Qualified Studies'!B5),"",'[1]Lithium Qualified Studies'!B5)</f>
        <v>Environmental impacts of a transition toward e-mobility: the present and future role of lithium carbonate production</v>
      </c>
      <c r="G6" s="3" t="str">
        <f>IF(ISBLANK('[1]Lithium Qualified Studies'!C5),"",'[1]Lithium Qualified Studies'!C5)</f>
        <v>https://doi.org/10.1016/j.jclepro.2011.10.026</v>
      </c>
      <c r="H6" s="3" t="str">
        <f>IF(ISBLANK('[1]Lithium Qualified Studies'!D5),"",'[1]Lithium Qualified Studies'!D5)</f>
        <v>Literature</v>
      </c>
      <c r="I6" s="3" t="str">
        <f>IF(ISBLANK('[1]Lithium Qualified Studies'!E5),"",'[1]Lithium Qualified Studies'!E5)</f>
        <v>brine (favorable): 2.02 kg CO2 eq / kg Li2CO3
brine (unfavorable): 82.01 kg CO2 eq / kg Li2CO3
spodumene (favorable): 2.27 kg CO2 eq / kg Li2CO3
spodumene (unfavorable): 2.62 kg CO2 eq / kg Li2CO3</v>
      </c>
      <c r="J6" s="3" t="str">
        <f>IF(ISBLANK('[1]Lithium Qualified Studies'!F5),"",'[1]Lithium Qualified Studies'!F5)</f>
        <v>brine (favorable): 2.02 kg CO2 eq / kg Li2CO3
brine (unfavorable): 82.01 kg CO2 eq / kg Li2CO3
spodumene (favorable): 2.27 kg CO2 eq / kg Li2CO3
spodumene (unfavorable): 2.62 kg CO2 eq / kg Li2CO3</v>
      </c>
      <c r="K6" s="3" t="str">
        <f>IF(ISBLANK('[1]Lithium Qualified Studies'!G5),"",'[1]Lithium Qualified Studies'!G5)</f>
        <v>partially → see comments</v>
      </c>
      <c r="L6" s="3" t="str">
        <f>IF(ISBLANK('[1]Lithium Qualified Studies'!H5),"",'[1]Lithium Qualified Studies'!H5)</f>
        <v>1 kg Li2CO3</v>
      </c>
      <c r="M6" s="3" t="str">
        <f>IF(ISBLANK('[1]Lithium Qualified Studies'!I5),"",'[1]Lithium Qualified Studies'!I5)</f>
        <v>cradle to gate → “The resource provision level represents the production of Li2CO3 from resource extraction to the final product at plant gate”</v>
      </c>
      <c r="N6" s="3" t="str">
        <f>IF(ISBLANK('[1]Lithium Qualified Studies'!J5),"",'[1]Lithium Qualified Studies'!J5)</f>
        <v>+ transparent</v>
      </c>
      <c r="O6" s="3" t="str">
        <f>IF(ISBLANK('[1]Lithium Qualified Studies'!K5),"",'[1]Lithium Qualified Studies'!K5)</f>
        <v>Brine, Li2CO3, Minerals</v>
      </c>
      <c r="P6" s="3" t="str">
        <f>IF(ISBLANK('[1]Lithium Qualified Studies'!L5),"",'[1]Lithium Qualified Studies'!L5)</f>
        <v>Vanessa, systematic lit rev</v>
      </c>
      <c r="Q6" s="3" t="str">
        <f>IF(ISBLANK('[1]Lithium Qualified Studies'!M5),"",'[1]Lithium Qualified Studies'!M5)</f>
        <v>Australia, Bolivia, Chile, China, Global</v>
      </c>
      <c r="R6" s="3" t="str">
        <f>IF(ISBLANK('[1]Lithium Qualified Studies'!N5),"",'[1]Lithium Qualified Studies'!N5)</f>
        <v>Greenbush, Manono Lithium-Tin Project, Salar de Atacama, Salar de Uyuni</v>
      </c>
      <c r="S6" s="8" t="s">
        <v>137</v>
      </c>
      <c r="T6" s="9" t="s">
        <v>136</v>
      </c>
      <c r="U6" s="6" t="s">
        <v>35</v>
      </c>
      <c r="V6" s="7" t="str">
        <f>IF(ISBLANK('[1]Lithium Peripheral Studies'!A5),"",'[1]Lithium Peripheral Studies'!A5)</f>
        <v>Winjobi et al (2022)</v>
      </c>
      <c r="W6" s="7" t="str">
        <f>IF(ISBLANK('[1]Lithium Peripheral Studies'!B5),"",'[1]Lithium Peripheral Studies'!B5)</f>
        <v>Life-cycle analysis, by global region, of automotive lithium-ion nickel manganese cobalt batteries of varying nickel content</v>
      </c>
      <c r="X6" s="7" t="str">
        <f>IF(ISBLANK('[1]Lithium Peripheral Studies'!C5),"",'[1]Lithium Peripheral Studies'!C5)</f>
        <v>https://doi.org/10.1016/j.susmat.2022.e00415</v>
      </c>
      <c r="Y6" s="7" t="str">
        <f>IF(ISBLANK('[1]Lithium Peripheral Studies'!D5),"",'[1]Lithium Peripheral Studies'!D5)</f>
        <v>Literature</v>
      </c>
      <c r="Z6" s="7" t="str">
        <f>IF(ISBLANK('[1]Lithium Peripheral Studies'!E5),"",'[1]Lithium Peripheral Studies'!E5)</f>
        <v>3.804 kg CO2 eq / kg</v>
      </c>
      <c r="AA6" s="7" t="str">
        <f>IF(ISBLANK('[1]Lithium Peripheral Studies'!F5),"",'[1]Lithium Peripheral Studies'!F5)</f>
        <v>probably no</v>
      </c>
      <c r="AB6" s="7" t="str">
        <f>IF(ISBLANK('[1]Lithium Peripheral Studies'!G5),"",'[1]Lithium Peripheral Studies'!G5)</f>
        <v xml:space="preserve">of study: 1kWh of battery capacity
</v>
      </c>
      <c r="AC6" s="7" t="str">
        <f>IF(ISBLANK('[1]Lithium Peripheral Studies'!H5),"",'[1]Lithium Peripheral Studies'!H5)</f>
        <v>see screenshot</v>
      </c>
      <c r="AD6" s="7" t="str">
        <f>IF(ISBLANK('[1]Lithium Peripheral Studies'!I5),"",'[1]Lithium Peripheral Studies'!I5)</f>
        <v>- intransparent</v>
      </c>
      <c r="AE6" s="7" t="str">
        <f>IF(ISBLANK('[1]Lithium Peripheral Studies'!J5),"",'[1]Lithium Peripheral Studies'!J5)</f>
        <v>Li2CO3</v>
      </c>
    </row>
    <row r="7" spans="1:37" ht="19.95" customHeight="1" x14ac:dyDescent="0.3">
      <c r="A7" s="2" t="s">
        <v>123</v>
      </c>
      <c r="B7" s="2">
        <v>2.6690819871062481</v>
      </c>
      <c r="C7" s="2" t="s">
        <v>66</v>
      </c>
      <c r="D7" s="1" t="str">
        <f>IF(E7="Jiang et al (2020)","","ERROR - check row order of Notion export")</f>
        <v/>
      </c>
      <c r="E7" s="3" t="str">
        <f>IF(ISBLANK('[1]Lithium Qualified Studies'!A6),"",'[1]Lithium Qualified Studies'!A6)</f>
        <v>Jiang et al (2020)</v>
      </c>
      <c r="F7" s="3" t="str">
        <f>IF(ISBLANK('[1]Lithium Qualified Studies'!B6),"",'[1]Lithium Qualified Studies'!B6)</f>
        <v>Environmental impacts of lithium production showing the importance of primary data of upstream process in life-cycle assessment</v>
      </c>
      <c r="G7" s="3" t="str">
        <f>IF(ISBLANK('[1]Lithium Qualified Studies'!C6),"",'[1]Lithium Qualified Studies'!C6)</f>
        <v>https://doi.org/10.1016/j.jenvman.2020.110253</v>
      </c>
      <c r="H7" s="3" t="str">
        <f>IF(ISBLANK('[1]Lithium Qualified Studies'!D6),"",'[1]Lithium Qualified Studies'!D6)</f>
        <v>Literature</v>
      </c>
      <c r="I7" s="3" t="str">
        <f>IF(ISBLANK('[1]Lithium Qualified Studies'!E6),"",'[1]Lithium Qualified Studies'!E6)</f>
        <v>Rock-based lithium: 15.69 kg CO2 eq/kg Li2CO3 (90% CI 5.2%)
Brine-based lithium: 3.29E-01 kg CO2 eq/kg Li2CO3</v>
      </c>
      <c r="J7" s="3" t="str">
        <f>IF(ISBLANK('[1]Lithium Qualified Studies'!F6),"",'[1]Lithium Qualified Studies'!F6)</f>
        <v>Rock-based lithium: 15.69 kg CO2 eq/kg Li2CO3
Brine-based lithium: 0.329 kg CO2 eq/kg Li2CO3</v>
      </c>
      <c r="K7" s="3" t="str">
        <f>IF(ISBLANK('[1]Lithium Qualified Studies'!G6),"",'[1]Lithium Qualified Studies'!G6)</f>
        <v>Yes → see comments</v>
      </c>
      <c r="L7" s="3" t="str">
        <f>IF(ISBLANK('[1]Lithium Qualified Studies'!H6),"",'[1]Lithium Qualified Studies'!H6)</f>
        <v>1 kg of refined lithium carbonate (Li2CO3) with a purity of 99.9% preparing for Li-ion battery</v>
      </c>
      <c r="M7" s="3" t="str">
        <f>IF(ISBLANK('[1]Lithium Qualified Studies'!I6),"",'[1]Lithium Qualified Studies'!I6)</f>
        <v>cradle to gate → see screenshot</v>
      </c>
      <c r="N7" s="3" t="str">
        <f>IF(ISBLANK('[1]Lithium Qualified Studies'!J6),"",'[1]Lithium Qualified Studies'!J6)</f>
        <v>++ transparent</v>
      </c>
      <c r="O7" s="3" t="str">
        <f>IF(ISBLANK('[1]Lithium Qualified Studies'!K6),"",'[1]Lithium Qualified Studies'!K6)</f>
        <v>Brine, Li2CO3, Minerals</v>
      </c>
      <c r="P7" s="3" t="str">
        <f>IF(ISBLANK('[1]Lithium Qualified Studies'!L6),"",'[1]Lithium Qualified Studies'!L6)</f>
        <v>Vanessa, connectedpapers.com, systematic lit rev</v>
      </c>
      <c r="Q7" s="3" t="str">
        <f>IF(ISBLANK('[1]Lithium Qualified Studies'!M6),"",'[1]Lithium Qualified Studies'!M6)</f>
        <v>Argentina, Australia, China</v>
      </c>
      <c r="R7" s="3" t="str">
        <f>IF(ISBLANK('[1]Lithium Qualified Studies'!N6),"",'[1]Lithium Qualified Studies'!N6)</f>
        <v>Salar de Atacama</v>
      </c>
      <c r="S7" s="8" t="b">
        <v>1</v>
      </c>
      <c r="T7" s="9"/>
      <c r="U7" s="6" t="s">
        <v>35</v>
      </c>
      <c r="V7" s="7" t="str">
        <f>IF(ISBLANK('[1]Lithium Peripheral Studies'!A6),"",'[1]Lithium Peripheral Studies'!A6)</f>
        <v xml:space="preserve">Dai et al. (2019) </v>
      </c>
      <c r="W7" s="7" t="str">
        <f>IF(ISBLANK('[1]Lithium Peripheral Studies'!B6),"",'[1]Lithium Peripheral Studies'!B6)</f>
        <v>Life Cycle Analysis of Lithium-Ion Batteries for Automotive Applications</v>
      </c>
      <c r="X7" s="7" t="str">
        <f>IF(ISBLANK('[1]Lithium Peripheral Studies'!C6),"",'[1]Lithium Peripheral Studies'!C6)</f>
        <v>https://doi.org/10.3390/batteries5020048</v>
      </c>
      <c r="Y7" s="7" t="str">
        <f>IF(ISBLANK('[1]Lithium Peripheral Studies'!D6),"",'[1]Lithium Peripheral Studies'!D6)</f>
        <v>Literature</v>
      </c>
      <c r="Z7" s="7" t="str">
        <f>IF(ISBLANK('[1]Lithium Peripheral Studies'!E6),"",'[1]Lithium Peripheral Studies'!E6)</f>
        <v xml:space="preserve"> 1.46 kg CO2e per kg NMC111 powder </v>
      </c>
      <c r="AA7" s="7" t="str">
        <f>IF(ISBLANK('[1]Lithium Peripheral Studies'!F6),"",'[1]Lithium Peripheral Studies'!F6)</f>
        <v>unclear: say they update GREET with new industrial data and talk about industry data they obtained from manufacturers but most probably only for production stages after Li2CO3-production</v>
      </c>
      <c r="AB7" s="7" t="str">
        <f>IF(ISBLANK('[1]Lithium Peripheral Studies'!G6),"",'[1]Lithium Peripheral Studies'!G6)</f>
        <v>1 kg NMC111 powder</v>
      </c>
      <c r="AC7" s="7" t="str">
        <f>IF(ISBLANK('[1]Lithium Peripheral Studies'!H6),"",'[1]Lithium Peripheral Studies'!H6)</f>
        <v>see screenshot</v>
      </c>
      <c r="AD7" s="7" t="str">
        <f>IF(ISBLANK('[1]Lithium Peripheral Studies'!I6),"",'[1]Lithium Peripheral Studies'!I6)</f>
        <v>- intransparent</v>
      </c>
      <c r="AE7" s="7" t="str">
        <f>IF(ISBLANK('[1]Lithium Peripheral Studies'!J6),"",'[1]Lithium Peripheral Studies'!J6)</f>
        <v>Brine, Li2CO3</v>
      </c>
    </row>
    <row r="8" spans="1:37" ht="19.95" customHeight="1" x14ac:dyDescent="0.3">
      <c r="A8" s="2" t="s">
        <v>124</v>
      </c>
      <c r="B8" s="2">
        <v>3.315738952383525</v>
      </c>
      <c r="C8" s="2" t="s">
        <v>66</v>
      </c>
      <c r="D8" s="1" t="str">
        <f>IF(E8="GREET 2022 [from brine]","","ERROR - check row order of Notion export")</f>
        <v/>
      </c>
      <c r="E8" s="3" t="str">
        <f>IF(ISBLANK('[1]Lithium Qualified Studies'!A7),"",'[1]Lithium Qualified Studies'!A7)</f>
        <v>GREET 2022 [from brine]</v>
      </c>
      <c r="F8" s="3" t="str">
        <f>IF(ISBLANK('[1]Lithium Qualified Studies'!B7),"",'[1]Lithium Qualified Studies'!B7)</f>
        <v>GREET 2022 .net</v>
      </c>
      <c r="G8" s="3" t="str">
        <f>IF(ISBLANK('[1]Lithium Qualified Studies'!C7),"",'[1]Lithium Qualified Studies'!C7)</f>
        <v>https://greet.anl.gov/</v>
      </c>
      <c r="H8" s="3" t="str">
        <f>IF(ISBLANK('[1]Lithium Qualified Studies'!D7),"",'[1]Lithium Qualified Studies'!D7)</f>
        <v>Database</v>
      </c>
      <c r="I8" s="3" t="str">
        <f>IF(ISBLANK('[1]Lithium Qualified Studies'!E7),"",'[1]Lithium Qualified Studies'!E7)</f>
        <v>2.8 kg CO2e/kg Li2CO3</v>
      </c>
      <c r="J8" s="3" t="str">
        <f>IF(ISBLANK('[1]Lithium Qualified Studies'!F7),"",'[1]Lithium Qualified Studies'!F7)</f>
        <v>2.8 kg CO2e/kg Li2CO3</v>
      </c>
      <c r="K8" s="3" t="str">
        <f>IF(ISBLANK('[1]Lithium Qualified Studies'!G7),"",'[1]Lithium Qualified Studies'!G7)</f>
        <v>based on Kelly (2021)</v>
      </c>
      <c r="L8" s="3" t="str">
        <f>IF(ISBLANK('[1]Lithium Qualified Studies'!H7),"",'[1]Lithium Qualified Studies'!H7)</f>
        <v>1 kg Li2CO3 (battery grade)</v>
      </c>
      <c r="M8" s="3" t="str">
        <f>IF(ISBLANK('[1]Lithium Qualified Studies'!I7),"",'[1]Lithium Qualified Studies'!I7)</f>
        <v/>
      </c>
      <c r="N8" s="3" t="str">
        <f>IF(ISBLANK('[1]Lithium Qualified Studies'!J7),"",'[1]Lithium Qualified Studies'!J7)</f>
        <v/>
      </c>
      <c r="O8" s="3" t="str">
        <f>IF(ISBLANK('[1]Lithium Qualified Studies'!K7),"",'[1]Lithium Qualified Studies'!K7)</f>
        <v>Brine, Li2CO3</v>
      </c>
      <c r="P8" s="3" t="str">
        <f>IF(ISBLANK('[1]Lithium Qualified Studies'!L7),"",'[1]Lithium Qualified Studies'!L7)</f>
        <v/>
      </c>
      <c r="Q8" s="3" t="str">
        <f>IF(ISBLANK('[1]Lithium Qualified Studies'!M7),"",'[1]Lithium Qualified Studies'!M7)</f>
        <v>Chile</v>
      </c>
      <c r="R8" s="3" t="str">
        <f>IF(ISBLANK('[1]Lithium Qualified Studies'!N7),"",'[1]Lithium Qualified Studies'!N7)</f>
        <v>Salar de Atacama</v>
      </c>
      <c r="S8" s="8" t="b">
        <v>1</v>
      </c>
      <c r="T8" s="8"/>
      <c r="U8" s="6" t="s">
        <v>35</v>
      </c>
      <c r="V8" s="7" t="str">
        <f>IF(ISBLANK('[1]Lithium Peripheral Studies'!A7),"",'[1]Lithium Peripheral Studies'!A7)</f>
        <v>Jiao et al. (2020)</v>
      </c>
      <c r="W8" s="7" t="str">
        <f>IF(ISBLANK('[1]Lithium Peripheral Studies'!B7),"",'[1]Lithium Peripheral Studies'!B7)</f>
        <v>Environmental Impacts Assessment of NCM Cathode Material Production of Power Lithium-Ion Batteries</v>
      </c>
      <c r="X8" s="7" t="str">
        <f>IF(ISBLANK('[1]Lithium Peripheral Studies'!C7),"",'[1]Lithium Peripheral Studies'!C7)</f>
        <v>https://doi.org/10.4028/www.scientific.net/MSF.993.1456</v>
      </c>
      <c r="Y8" s="7" t="str">
        <f>IF(ISBLANK('[1]Lithium Peripheral Studies'!D7),"",'[1]Lithium Peripheral Studies'!D7)</f>
        <v>Literature</v>
      </c>
      <c r="Z8" s="7" t="str">
        <f>IF(ISBLANK('[1]Lithium Peripheral Studies'!E7),"",'[1]Lithium Peripheral Studies'!E7)</f>
        <v>1.72 kg CO2 eq / kg cathode material</v>
      </c>
      <c r="AA8" s="7" t="str">
        <f>IF(ISBLANK('[1]Lithium Peripheral Studies'!F7),"",'[1]Lithium Peripheral Studies'!F7)</f>
        <v>no</v>
      </c>
      <c r="AB8" s="7" t="str">
        <f>IF(ISBLANK('[1]Lithium Peripheral Studies'!G7),"",'[1]Lithium Peripheral Studies'!G7)</f>
        <v>1 kg NMC111 cathode material</v>
      </c>
      <c r="AC8" s="7" t="str">
        <f>IF(ISBLANK('[1]Lithium Peripheral Studies'!H7),"",'[1]Lithium Peripheral Studies'!H7)</f>
        <v>see screenshot</v>
      </c>
      <c r="AD8" s="7" t="str">
        <f>IF(ISBLANK('[1]Lithium Peripheral Studies'!I7),"",'[1]Lithium Peripheral Studies'!I7)</f>
        <v>- intransparent</v>
      </c>
      <c r="AE8" s="7" t="str">
        <f>IF(ISBLANK('[1]Lithium Peripheral Studies'!J7),"",'[1]Lithium Peripheral Studies'!J7)</f>
        <v>Li2CO3</v>
      </c>
    </row>
    <row r="9" spans="1:37" ht="19.95" customHeight="1" x14ac:dyDescent="0.3">
      <c r="A9" s="2" t="s">
        <v>125</v>
      </c>
      <c r="B9" s="2">
        <v>3.0583134743253142</v>
      </c>
      <c r="C9" s="2" t="s">
        <v>66</v>
      </c>
      <c r="D9" s="1" t="str">
        <f>IF(E9="GREET 2022 [from ore]","","ERROR - check row order of Notion export")</f>
        <v/>
      </c>
      <c r="E9" s="3" t="str">
        <f>IF(ISBLANK('[1]Lithium Qualified Studies'!A8),"",'[1]Lithium Qualified Studies'!A8)</f>
        <v>GREET 2022 [from ore]</v>
      </c>
      <c r="F9" s="3" t="str">
        <f>IF(ISBLANK('[1]Lithium Qualified Studies'!B8),"",'[1]Lithium Qualified Studies'!B8)</f>
        <v>GREET 2022 .net</v>
      </c>
      <c r="G9" s="3" t="str">
        <f>IF(ISBLANK('[1]Lithium Qualified Studies'!C8),"",'[1]Lithium Qualified Studies'!C8)</f>
        <v>https://greet.anl.gov/</v>
      </c>
      <c r="H9" s="3" t="str">
        <f>IF(ISBLANK('[1]Lithium Qualified Studies'!D8),"",'[1]Lithium Qualified Studies'!D8)</f>
        <v>Database</v>
      </c>
      <c r="I9" s="3" t="str">
        <f>IF(ISBLANK('[1]Lithium Qualified Studies'!E8),"",'[1]Lithium Qualified Studies'!E8)</f>
        <v>20.2 kg CO2e/kg Li2CO3</v>
      </c>
      <c r="J9" s="3" t="str">
        <f>IF(ISBLANK('[1]Lithium Qualified Studies'!F8),"",'[1]Lithium Qualified Studies'!F8)</f>
        <v>20.2 kg CO2e/kg Li2CO3</v>
      </c>
      <c r="K9" s="3" t="str">
        <f>IF(ISBLANK('[1]Lithium Qualified Studies'!G8),"",'[1]Lithium Qualified Studies'!G8)</f>
        <v>based on Kelly (2021)</v>
      </c>
      <c r="L9" s="3" t="str">
        <f>IF(ISBLANK('[1]Lithium Qualified Studies'!H8),"",'[1]Lithium Qualified Studies'!H8)</f>
        <v>1 kg Li2CO3 (battery grade)</v>
      </c>
      <c r="M9" s="3" t="str">
        <f>IF(ISBLANK('[1]Lithium Qualified Studies'!I8),"",'[1]Lithium Qualified Studies'!I8)</f>
        <v/>
      </c>
      <c r="N9" s="3" t="str">
        <f>IF(ISBLANK('[1]Lithium Qualified Studies'!J8),"",'[1]Lithium Qualified Studies'!J8)</f>
        <v/>
      </c>
      <c r="O9" s="3" t="str">
        <f>IF(ISBLANK('[1]Lithium Qualified Studies'!K8),"",'[1]Lithium Qualified Studies'!K8)</f>
        <v>Li2CO3, Minerals</v>
      </c>
      <c r="P9" s="3" t="str">
        <f>IF(ISBLANK('[1]Lithium Qualified Studies'!L8),"",'[1]Lithium Qualified Studies'!L8)</f>
        <v/>
      </c>
      <c r="Q9" s="3" t="str">
        <f>IF(ISBLANK('[1]Lithium Qualified Studies'!M8),"",'[1]Lithium Qualified Studies'!M8)</f>
        <v>Australia, China</v>
      </c>
      <c r="R9" s="3" t="str">
        <f>IF(ISBLANK('[1]Lithium Qualified Studies'!N8),"",'[1]Lithium Qualified Studies'!N8)</f>
        <v/>
      </c>
      <c r="S9" s="8" t="b">
        <v>1</v>
      </c>
      <c r="T9" s="8"/>
      <c r="U9" s="6" t="s">
        <v>35</v>
      </c>
      <c r="V9" s="7" t="str">
        <f>IF(ISBLANK('[1]Lithium Peripheral Studies'!A8),"",'[1]Lithium Peripheral Studies'!A8)</f>
        <v>Notter et al. (2010)</v>
      </c>
      <c r="W9" s="7" t="str">
        <f>IF(ISBLANK('[1]Lithium Peripheral Studies'!B8),"",'[1]Lithium Peripheral Studies'!B8)</f>
        <v>Contribution of Li-Ion Batteries to the Environmental Impact of Electric Vehicles</v>
      </c>
      <c r="X9" s="7" t="str">
        <f>IF(ISBLANK('[1]Lithium Peripheral Studies'!C8),"",'[1]Lithium Peripheral Studies'!C8)</f>
        <v>https://doi.org/10.1021/es903729a</v>
      </c>
      <c r="Y9" s="7" t="str">
        <f>IF(ISBLANK('[1]Lithium Peripheral Studies'!D8),"",'[1]Lithium Peripheral Studies'!D8)</f>
        <v>Literature</v>
      </c>
      <c r="Z9" s="7" t="str">
        <f>IF(ISBLANK('[1]Lithium Peripheral Studies'!E8),"",'[1]Lithium Peripheral Studies'!E8)</f>
        <v>0.135 kg CO2 eq per 1 kg Li-ion battery</v>
      </c>
      <c r="AA9" s="7" t="str">
        <f>IF(ISBLANK('[1]Lithium Peripheral Studies'!F8),"",'[1]Lithium Peripheral Studies'!F8)</f>
        <v>No → get data from SEIA-CONAMA (Government agencies from Chile)</v>
      </c>
      <c r="AB9" s="7" t="str">
        <f>IF(ISBLANK('[1]Lithium Peripheral Studies'!G8),"",'[1]Lithium Peripheral Studies'!G8)</f>
        <v>1 kg Li-ion battery → how to harmonise?</v>
      </c>
      <c r="AC9" s="7" t="str">
        <f>IF(ISBLANK('[1]Lithium Peripheral Studies'!H8),"",'[1]Lithium Peripheral Studies'!H8)</f>
        <v>see screenshot</v>
      </c>
      <c r="AD9" s="7" t="str">
        <f>IF(ISBLANK('[1]Lithium Peripheral Studies'!I8),"",'[1]Lithium Peripheral Studies'!I8)</f>
        <v>++ transparent</v>
      </c>
      <c r="AE9" s="7" t="str">
        <f>IF(ISBLANK('[1]Lithium Peripheral Studies'!J8),"",'[1]Lithium Peripheral Studies'!J8)</f>
        <v>Brine, Li2CO3</v>
      </c>
    </row>
    <row r="10" spans="1:37" ht="19.95" customHeight="1" x14ac:dyDescent="0.3">
      <c r="A10" s="2" t="s">
        <v>126</v>
      </c>
      <c r="B10" s="2">
        <v>3.9650716983289458</v>
      </c>
      <c r="C10" s="2" t="s">
        <v>66</v>
      </c>
      <c r="D10" s="1" t="str">
        <f>IF(E10="EI 3.9.1 [from ore, RoW]","","ERROR - check row order of Notion export")</f>
        <v/>
      </c>
      <c r="E10" s="3" t="str">
        <f>IF(ISBLANK('[1]Lithium Qualified Studies'!A9),"",'[1]Lithium Qualified Studies'!A9)</f>
        <v>EI 3.9.1 [from ore, RoW]</v>
      </c>
      <c r="F10" s="3" t="str">
        <f>IF(ISBLANK('[1]Lithium Qualified Studies'!B9),"",'[1]Lithium Qualified Studies'!B9)</f>
        <v>lithium carbonate production, from spodumene</v>
      </c>
      <c r="G10" s="3" t="str">
        <f>IF(ISBLANK('[1]Lithium Qualified Studies'!C9),"",'[1]Lithium Qualified Studies'!C9)</f>
        <v>https://ecoquery.ecoinvent.org/3.9.1/cutoff/dataset/24583/impact_assessment</v>
      </c>
      <c r="H10" s="3" t="str">
        <f>IF(ISBLANK('[1]Lithium Qualified Studies'!D9),"",'[1]Lithium Qualified Studies'!D9)</f>
        <v>Database</v>
      </c>
      <c r="I10" s="3" t="str">
        <f>IF(ISBLANK('[1]Lithium Qualified Studies'!E9),"",'[1]Lithium Qualified Studies'!E9)</f>
        <v>9.5289 kg CO2e/kg Li2CO3</v>
      </c>
      <c r="J10" s="3" t="str">
        <f>IF(ISBLANK('[1]Lithium Qualified Studies'!F9),"",'[1]Lithium Qualified Studies'!F9)</f>
        <v>9.5289 kg CO2e/kg Li2CO3</v>
      </c>
      <c r="K10" s="3" t="str">
        <f>IF(ISBLANK('[1]Lithium Qualified Studies'!G9),"",'[1]Lithium Qualified Studies'!G9)</f>
        <v>based on Jiang et al. (2020)</v>
      </c>
      <c r="L10" s="3" t="str">
        <f>IF(ISBLANK('[1]Lithium Qualified Studies'!H9),"",'[1]Lithium Qualified Studies'!H9)</f>
        <v>1 kg of refined lithium carbonate (Li2CO3), with 99.9% purity.</v>
      </c>
      <c r="M10" s="3" t="str">
        <f>IF(ISBLANK('[1]Lithium Qualified Studies'!I9),"",'[1]Lithium Qualified Studies'!I9)</f>
        <v/>
      </c>
      <c r="N10" s="3" t="str">
        <f>IF(ISBLANK('[1]Lithium Qualified Studies'!J9),"",'[1]Lithium Qualified Studies'!J9)</f>
        <v/>
      </c>
      <c r="O10" s="3" t="str">
        <f>IF(ISBLANK('[1]Lithium Qualified Studies'!K9),"",'[1]Lithium Qualified Studies'!K9)</f>
        <v>Li2CO3, Minerals</v>
      </c>
      <c r="P10" s="3" t="str">
        <f>IF(ISBLANK('[1]Lithium Qualified Studies'!L9),"",'[1]Lithium Qualified Studies'!L9)</f>
        <v/>
      </c>
      <c r="Q10" s="3" t="str">
        <f>IF(ISBLANK('[1]Lithium Qualified Studies'!M9),"",'[1]Lithium Qualified Studies'!M9)</f>
        <v>Australia, China</v>
      </c>
      <c r="R10" s="3" t="str">
        <f>IF(ISBLANK('[1]Lithium Qualified Studies'!N9),"",'[1]Lithium Qualified Studies'!N9)</f>
        <v/>
      </c>
      <c r="S10" s="8" t="b">
        <v>1</v>
      </c>
      <c r="T10" s="8"/>
      <c r="U10" s="6" t="s">
        <v>35</v>
      </c>
      <c r="V10" s="7" t="str">
        <f>IF(ISBLANK('[1]Lithium Peripheral Studies'!A9),"",'[1]Lithium Peripheral Studies'!A9)</f>
        <v>Grant et al. (2020)</v>
      </c>
      <c r="W10" s="7" t="str">
        <f>IF(ISBLANK('[1]Lithium Peripheral Studies'!B9),"",'[1]Lithium Peripheral Studies'!B9)</f>
        <v>The CO2 Impact of the 2020s’ Battery Quality Lithium Hydroxide Supply Chain</v>
      </c>
      <c r="X10" s="7" t="str">
        <f>IF(ISBLANK('[1]Lithium Peripheral Studies'!C9),"",'[1]Lithium Peripheral Studies'!C9)</f>
        <v>https://www.jadecove.com/research/liohco2impact?rq=lithium%20hydroxide</v>
      </c>
      <c r="Y10" s="7" t="str">
        <f>IF(ISBLANK('[1]Lithium Peripheral Studies'!D9),"",'[1]Lithium Peripheral Studies'!D9)</f>
        <v>Report</v>
      </c>
      <c r="Z10" s="7" t="str">
        <f>IF(ISBLANK('[1]Lithium Peripheral Studies'!E9),"",'[1]Lithium Peripheral Studies'!E9)</f>
        <v>Argentina: 8 t CO2/t LiOH٠H2O
Australia: 15 t CO2/t LiOH٠H2O
Portugal: 15 t CO2/t LiOH٠H2O</v>
      </c>
      <c r="AA10" s="7" t="str">
        <f>IF(ISBLANK('[1]Lithium Peripheral Studies'!F9),"",'[1]Lithium Peripheral Studies'!F9)</f>
        <v>No → used public data
“The majority of this information originates from published data, linked to real resources, operators, and proposed projects.”</v>
      </c>
      <c r="AB10" s="7" t="str">
        <f>IF(ISBLANK('[1]Lithium Peripheral Studies'!G9),"",'[1]Lithium Peripheral Studies'!G9)</f>
        <v>1 tonne of LiOH٠H2O FOB Port of Rotterdam, the Netherlands</v>
      </c>
      <c r="AC10" s="7" t="str">
        <f>IF(ISBLANK('[1]Lithium Peripheral Studies'!H9),"",'[1]Lithium Peripheral Studies'!H9)</f>
        <v>see screenshot</v>
      </c>
      <c r="AD10" s="7" t="str">
        <f>IF(ISBLANK('[1]Lithium Peripheral Studies'!I9),"",'[1]Lithium Peripheral Studies'!I9)</f>
        <v>-- intransparent</v>
      </c>
      <c r="AE10" s="7" t="str">
        <f>IF(ISBLANK('[1]Lithium Peripheral Studies'!J9),"",'[1]Lithium Peripheral Studies'!J9)</f>
        <v>Brine, Li2CO3, Minerals</v>
      </c>
    </row>
    <row r="11" spans="1:37" ht="19.95" customHeight="1" x14ac:dyDescent="0.3">
      <c r="A11" s="2" t="s">
        <v>127</v>
      </c>
      <c r="B11" s="2">
        <v>5.2770622763923365</v>
      </c>
      <c r="C11" s="2" t="s">
        <v>66</v>
      </c>
      <c r="D11" s="1" t="str">
        <f>IF(E11="EI 3.9.1 [from ore, CN]","","ERROR - check row order of Notion export")</f>
        <v/>
      </c>
      <c r="E11" s="3" t="str">
        <f>IF(ISBLANK('[1]Lithium Qualified Studies'!A10),"",'[1]Lithium Qualified Studies'!A10)</f>
        <v>EI 3.9.1 [from ore, CN]</v>
      </c>
      <c r="F11" s="3" t="str">
        <f>IF(ISBLANK('[1]Lithium Qualified Studies'!B10),"",'[1]Lithium Qualified Studies'!B10)</f>
        <v>lithium carbonate production, from spodumene</v>
      </c>
      <c r="G11" s="3" t="str">
        <f>IF(ISBLANK('[1]Lithium Qualified Studies'!C10),"",'[1]Lithium Qualified Studies'!C10)</f>
        <v>https://ecoquery.ecoinvent.org/3.9.1/cutoff/dataset/24929/impact_assessment</v>
      </c>
      <c r="H11" s="3" t="str">
        <f>IF(ISBLANK('[1]Lithium Qualified Studies'!D10),"",'[1]Lithium Qualified Studies'!D10)</f>
        <v>Database</v>
      </c>
      <c r="I11" s="3" t="str">
        <f>IF(ISBLANK('[1]Lithium Qualified Studies'!E10),"",'[1]Lithium Qualified Studies'!E10)</f>
        <v>1.0676 kg CO2e/kg Li2CO3</v>
      </c>
      <c r="J11" s="3" t="str">
        <f>IF(ISBLANK('[1]Lithium Qualified Studies'!F10),"",'[1]Lithium Qualified Studies'!F10)</f>
        <v>1.0676 kg CO2e/kg Li2CO3</v>
      </c>
      <c r="K11" s="3" t="str">
        <f>IF(ISBLANK('[1]Lithium Qualified Studies'!G10),"",'[1]Lithium Qualified Studies'!G10)</f>
        <v>based on Jiang et al. (2020)</v>
      </c>
      <c r="L11" s="3" t="str">
        <f>IF(ISBLANK('[1]Lithium Qualified Studies'!H10),"",'[1]Lithium Qualified Studies'!H10)</f>
        <v>1 kg of refined lithium carbonate (Li2CO3), with 99.9% purity.</v>
      </c>
      <c r="M11" s="3" t="str">
        <f>IF(ISBLANK('[1]Lithium Qualified Studies'!I10),"",'[1]Lithium Qualified Studies'!I10)</f>
        <v/>
      </c>
      <c r="N11" s="3" t="str">
        <f>IF(ISBLANK('[1]Lithium Qualified Studies'!J10),"",'[1]Lithium Qualified Studies'!J10)</f>
        <v/>
      </c>
      <c r="O11" s="3" t="str">
        <f>IF(ISBLANK('[1]Lithium Qualified Studies'!K10),"",'[1]Lithium Qualified Studies'!K10)</f>
        <v>Li2CO3, Minerals</v>
      </c>
      <c r="P11" s="3" t="str">
        <f>IF(ISBLANK('[1]Lithium Qualified Studies'!L10),"",'[1]Lithium Qualified Studies'!L10)</f>
        <v/>
      </c>
      <c r="Q11" s="3" t="str">
        <f>IF(ISBLANK('[1]Lithium Qualified Studies'!M10),"",'[1]Lithium Qualified Studies'!M10)</f>
        <v>China</v>
      </c>
      <c r="R11" s="3" t="str">
        <f>IF(ISBLANK('[1]Lithium Qualified Studies'!N10),"",'[1]Lithium Qualified Studies'!N10)</f>
        <v/>
      </c>
      <c r="S11" s="8" t="b">
        <v>1</v>
      </c>
      <c r="T11" s="8"/>
      <c r="U11" s="6" t="s">
        <v>35</v>
      </c>
      <c r="V11" s="7" t="str">
        <f>IF(ISBLANK('[1]Lithium Peripheral Studies'!A10),"",'[1]Lithium Peripheral Studies'!A10)</f>
        <v>Minviro (2022)</v>
      </c>
      <c r="W11" s="7" t="str">
        <f>IF(ISBLANK('[1]Lithium Peripheral Studies'!B10),"",'[1]Lithium Peripheral Studies'!B10)</f>
        <v>Comparative Life Cycle Assessment Study Of Solid State And Lithium-Ion Batteries For Electric Vehicle Application In Europe</v>
      </c>
      <c r="X11" s="7" t="str">
        <f>IF(ISBLANK('[1]Lithium Peripheral Studies'!C10),"",'[1]Lithium Peripheral Studies'!C10)</f>
        <v>https://www.transportenvironment.org/wp-content/uploads/2022/07/2022_07_LCA_research_by_Minviro.pdf</v>
      </c>
      <c r="Y11" s="7" t="str">
        <f>IF(ISBLANK('[1]Lithium Peripheral Studies'!D10),"",'[1]Lithium Peripheral Studies'!D10)</f>
        <v>Report</v>
      </c>
      <c r="Z11" s="7" t="str">
        <f>IF(ISBLANK('[1]Lithium Peripheral Studies'!E10),"",'[1]Lithium Peripheral Studies'!E10)</f>
        <v>see screenshots</v>
      </c>
      <c r="AA11" s="7" t="str">
        <f>IF(ISBLANK('[1]Lithium Peripheral Studies'!F10),"",'[1]Lithium Peripheral Studies'!F10)</f>
        <v>no → public sources + private databases</v>
      </c>
      <c r="AB11" s="7" t="str">
        <f>IF(ISBLANK('[1]Lithium Peripheral Studies'!G10),"",'[1]Lithium Peripheral Studies'!G10)</f>
        <v>one kilowatt hour contained within a complete (SSB/Li-ion) battery pack, produced from comparable raw material supply chains.</v>
      </c>
      <c r="AC11" s="7" t="str">
        <f>IF(ISBLANK('[1]Lithium Peripheral Studies'!H10),"",'[1]Lithium Peripheral Studies'!H10)</f>
        <v>cradle-to-gate: “The end gate has been set to the output of
the battery facility.”</v>
      </c>
      <c r="AD11" s="7" t="str">
        <f>IF(ISBLANK('[1]Lithium Peripheral Studies'!I10),"",'[1]Lithium Peripheral Studies'!I10)</f>
        <v>+ transparent</v>
      </c>
      <c r="AE11" s="7" t="str">
        <f>IF(ISBLANK('[1]Lithium Peripheral Studies'!J10),"",'[1]Lithium Peripheral Studies'!J10)</f>
        <v>Brine, Li2CO3, LiOH ∗ H2O, Minerals</v>
      </c>
    </row>
    <row r="12" spans="1:37" ht="19.95" customHeight="1" x14ac:dyDescent="0.3">
      <c r="A12" s="2" t="s">
        <v>128</v>
      </c>
      <c r="B12" s="2">
        <v>3.1</v>
      </c>
      <c r="C12" s="2" t="s">
        <v>66</v>
      </c>
      <c r="D12" s="1" t="str">
        <f>IF(E12="EI 3.9.1 [from brine, GLO]","","ERROR - check row order of Notion export")</f>
        <v/>
      </c>
      <c r="E12" s="3" t="str">
        <f>IF(ISBLANK('[1]Lithium Qualified Studies'!A11),"",'[1]Lithium Qualified Studies'!A11)</f>
        <v>EI 3.9.1 [from brine, GLO]</v>
      </c>
      <c r="F12" s="3" t="str">
        <f>IF(ISBLANK('[1]Lithium Qualified Studies'!B11),"",'[1]Lithium Qualified Studies'!B11)</f>
        <v>lithium carbonate production, from concentrated brine</v>
      </c>
      <c r="G12" s="3" t="str">
        <f>IF(ISBLANK('[1]Lithium Qualified Studies'!C11),"",'[1]Lithium Qualified Studies'!C11)</f>
        <v>https://ecoquery.ecoinvent.org/3.9.1/cutoff/dataset/2085/documentation</v>
      </c>
      <c r="H12" s="3" t="str">
        <f>IF(ISBLANK('[1]Lithium Qualified Studies'!D11),"",'[1]Lithium Qualified Studies'!D11)</f>
        <v>Database</v>
      </c>
      <c r="I12" s="3" t="str">
        <f>IF(ISBLANK('[1]Lithium Qualified Studies'!E11),"",'[1]Lithium Qualified Studies'!E11)</f>
        <v>2.1598 kg CO2e/kg Li2CO3</v>
      </c>
      <c r="J12" s="3" t="str">
        <f>IF(ISBLANK('[1]Lithium Qualified Studies'!F11),"",'[1]Lithium Qualified Studies'!F11)</f>
        <v>2.1598 kg CO2e/kg Li2CO3</v>
      </c>
      <c r="K12" s="3" t="str">
        <f>IF(ISBLANK('[1]Lithium Qualified Studies'!G11),"",'[1]Lithium Qualified Studies'!G11)</f>
        <v>based on an environmental survey from SEIA-CONAMA (2006) as well as environmental reports from a company in Chile (SQM)</v>
      </c>
      <c r="L12" s="3" t="str">
        <f>IF(ISBLANK('[1]Lithium Qualified Studies'!H11),"",'[1]Lithium Qualified Studies'!H11)</f>
        <v>1 kg of lithium carbonate from concentrated brine</v>
      </c>
      <c r="M12" s="3" t="str">
        <f>IF(ISBLANK('[1]Lithium Qualified Studies'!I11),"",'[1]Lithium Qualified Studies'!I11)</f>
        <v/>
      </c>
      <c r="N12" s="3" t="str">
        <f>IF(ISBLANK('[1]Lithium Qualified Studies'!J11),"",'[1]Lithium Qualified Studies'!J11)</f>
        <v/>
      </c>
      <c r="O12" s="3" t="str">
        <f>IF(ISBLANK('[1]Lithium Qualified Studies'!K11),"",'[1]Lithium Qualified Studies'!K11)</f>
        <v>Brine, Li2CO3</v>
      </c>
      <c r="P12" s="3" t="str">
        <f>IF(ISBLANK('[1]Lithium Qualified Studies'!L11),"",'[1]Lithium Qualified Studies'!L11)</f>
        <v/>
      </c>
      <c r="Q12" s="3" t="str">
        <f>IF(ISBLANK('[1]Lithium Qualified Studies'!M11),"",'[1]Lithium Qualified Studies'!M11)</f>
        <v>Chile</v>
      </c>
      <c r="R12" s="3" t="str">
        <f>IF(ISBLANK('[1]Lithium Qualified Studies'!N11),"",'[1]Lithium Qualified Studies'!N11)</f>
        <v/>
      </c>
      <c r="S12" s="8" t="b">
        <v>1</v>
      </c>
      <c r="T12" s="8"/>
      <c r="U12" s="6" t="s">
        <v>35</v>
      </c>
      <c r="V12" s="7" t="str">
        <f>IF(ISBLANK('[1]Lithium Peripheral Studies'!A11),"",'[1]Lithium Peripheral Studies'!A11)</f>
        <v>Riikke (2021)</v>
      </c>
      <c r="W12" s="7" t="str">
        <f>IF(ISBLANK('[1]Lithium Peripheral Studies'!B11),"",'[1]Lithium Peripheral Studies'!B11)</f>
        <v>Life cycle assessment for
lithium hydroxide production</v>
      </c>
      <c r="X12" s="7" t="str">
        <f>IF(ISBLANK('[1]Lithium Peripheral Studies'!C11),"",'[1]Lithium Peripheral Studies'!C11)</f>
        <v>https://www.theseus.fi/bitstream/handle/10024/509459/Anttonen_Riikka.pdf?sequence=2&amp;isAllowed=y</v>
      </c>
      <c r="Y12" s="7" t="str">
        <f>IF(ISBLANK('[1]Lithium Peripheral Studies'!D11),"",'[1]Lithium Peripheral Studies'!D11)</f>
        <v>Report</v>
      </c>
      <c r="Z12" s="7" t="str">
        <f>IF(ISBLANK('[1]Lithium Peripheral Studies'!E11),"",'[1]Lithium Peripheral Studies'!E11)</f>
        <v>9,4 t CO2 eq per tonne of
lithium hydroxide monohydrate</v>
      </c>
      <c r="AA12" s="7" t="str">
        <f>IF(ISBLANK('[1]Lithium Peripheral Studies'!F11),"",'[1]Lithium Peripheral Studies'!F11)</f>
        <v>say yes but source mainly EI 3.6</v>
      </c>
      <c r="AB12" s="7" t="str">
        <f>IF(ISBLANK('[1]Lithium Peripheral Studies'!G11),"",'[1]Lithium Peripheral Studies'!G11)</f>
        <v>1 tonne of lithium hydroxide monohydrate</v>
      </c>
      <c r="AC12" s="7" t="str">
        <f>IF(ISBLANK('[1]Lithium Peripheral Studies'!H11),"",'[1]Lithium Peripheral Studies'!H11)</f>
        <v>cradle-to-gate</v>
      </c>
      <c r="AD12" s="7" t="str">
        <f>IF(ISBLANK('[1]Lithium Peripheral Studies'!I11),"",'[1]Lithium Peripheral Studies'!I11)</f>
        <v>++ transparent</v>
      </c>
      <c r="AE12" s="7" t="str">
        <f>IF(ISBLANK('[1]Lithium Peripheral Studies'!J11),"",'[1]Lithium Peripheral Studies'!J11)</f>
        <v>LiOH ∗ H2O</v>
      </c>
    </row>
    <row r="13" spans="1:37" ht="19.95" customHeight="1" x14ac:dyDescent="0.3">
      <c r="A13" s="2" t="s">
        <v>129</v>
      </c>
      <c r="B13" s="2">
        <v>20.399999999999999</v>
      </c>
      <c r="C13" s="2" t="s">
        <v>66</v>
      </c>
      <c r="D13" s="1" t="str">
        <f t="shared" ref="D13:D22" si="0">IF(E13="","","ERROR - check row order of Notion export")</f>
        <v/>
      </c>
      <c r="E13" s="3" t="str">
        <f>IF(ISBLANK('[1]Lithium Qualified Studies'!A12),"",'[1]Lithium Qualified Studies'!A12)</f>
        <v/>
      </c>
      <c r="F13" s="3" t="str">
        <f>IF(ISBLANK('[1]Lithium Qualified Studies'!B12),"",'[1]Lithium Qualified Studies'!B12)</f>
        <v/>
      </c>
      <c r="G13" s="3" t="str">
        <f>IF(ISBLANK('[1]Lithium Qualified Studies'!C12),"",'[1]Lithium Qualified Studies'!C12)</f>
        <v/>
      </c>
      <c r="H13" s="3" t="str">
        <f>IF(ISBLANK('[1]Lithium Qualified Studies'!D12),"",'[1]Lithium Qualified Studies'!D12)</f>
        <v/>
      </c>
      <c r="I13" s="3" t="str">
        <f>IF(ISBLANK('[1]Lithium Qualified Studies'!E12),"",'[1]Lithium Qualified Studies'!E12)</f>
        <v/>
      </c>
      <c r="J13" s="3" t="str">
        <f>IF(ISBLANK('[1]Lithium Qualified Studies'!F12),"",'[1]Lithium Qualified Studies'!F12)</f>
        <v/>
      </c>
      <c r="K13" s="3" t="str">
        <f>IF(ISBLANK('[1]Lithium Qualified Studies'!G12),"",'[1]Lithium Qualified Studies'!G12)</f>
        <v/>
      </c>
      <c r="L13" s="3" t="str">
        <f>IF(ISBLANK('[1]Lithium Qualified Studies'!H12),"",'[1]Lithium Qualified Studies'!H12)</f>
        <v/>
      </c>
      <c r="M13" s="3" t="str">
        <f>IF(ISBLANK('[1]Lithium Qualified Studies'!I12),"",'[1]Lithium Qualified Studies'!I12)</f>
        <v/>
      </c>
      <c r="N13" s="3" t="str">
        <f>IF(ISBLANK('[1]Lithium Qualified Studies'!J12),"",'[1]Lithium Qualified Studies'!J12)</f>
        <v/>
      </c>
      <c r="O13" s="3" t="str">
        <f>IF(ISBLANK('[1]Lithium Qualified Studies'!K12),"",'[1]Lithium Qualified Studies'!K12)</f>
        <v/>
      </c>
      <c r="P13" s="3" t="str">
        <f>IF(ISBLANK('[1]Lithium Qualified Studies'!L12),"",'[1]Lithium Qualified Studies'!L12)</f>
        <v/>
      </c>
      <c r="Q13" s="3" t="str">
        <f>IF(ISBLANK('[1]Lithium Qualified Studies'!M12),"",'[1]Lithium Qualified Studies'!M12)</f>
        <v/>
      </c>
      <c r="R13" s="3" t="str">
        <f>IF(ISBLANK('[1]Lithium Qualified Studies'!N12),"",'[1]Lithium Qualified Studies'!N12)</f>
        <v/>
      </c>
      <c r="S13" s="8"/>
      <c r="T13" s="8"/>
      <c r="U13" s="6" t="s">
        <v>35</v>
      </c>
      <c r="V13" s="7" t="str">
        <f>IF(ISBLANK('[1]Lithium Peripheral Studies'!A12),"",'[1]Lithium Peripheral Studies'!A12)</f>
        <v>Chordia et al. (2022)</v>
      </c>
      <c r="W13" s="7" t="str">
        <f>IF(ISBLANK('[1]Lithium Peripheral Studies'!B12),"",'[1]Lithium Peripheral Studies'!B12)</f>
        <v>Life cycle environmental impacts of current and future battery-grade lithium supply from brine and spodumene</v>
      </c>
      <c r="X13" s="7" t="str">
        <f>IF(ISBLANK('[1]Lithium Peripheral Studies'!C12),"",'[1]Lithium Peripheral Studies'!C12)</f>
        <v>https://doi.org/10.1016/j.resconrec.2022.106634</v>
      </c>
      <c r="Y13" s="7" t="str">
        <f>IF(ISBLANK('[1]Lithium Peripheral Studies'!D12),"",'[1]Lithium Peripheral Studies'!D12)</f>
        <v>Literature</v>
      </c>
      <c r="Z13" s="7" t="str">
        <f>IF(ISBLANK('[1]Lithium Peripheral Studies'!E12),"",'[1]Lithium Peripheral Studies'!E12)</f>
        <v>Salar de Atacama (Brine)
Ecoinvent: 5.50 kg CO2 eq / kg LiOH⋅H2O
Kelly: 7.31 kg CO2 eq / kg LiOH⋅H2O
Talison, Australia (Spodumene)
Ecoinvent: 19.2 kg CO2 eq / kg LiOH⋅H2O
Kelly: 18.5 kg CO2 eq / kg LiOH⋅H2O</v>
      </c>
      <c r="AA13" s="7" t="str">
        <f>IF(ISBLANK('[1]Lithium Peripheral Studies'!F12),"",'[1]Lithium Peripheral Studies'!F12)</f>
        <v>No → review Ecoinvent and Kelly et al. (2021) as base for their calculations</v>
      </c>
      <c r="AB13" s="7" t="str">
        <f>IF(ISBLANK('[1]Lithium Peripheral Studies'!G12),"",'[1]Lithium Peripheral Studies'!G12)</f>
        <v>1 metric ton of battery-grade LiOH⋅H2O</v>
      </c>
      <c r="AC13" s="7" t="str">
        <f>IF(ISBLANK('[1]Lithium Peripheral Studies'!H12),"",'[1]Lithium Peripheral Studies'!H12)</f>
        <v>cradle to gate</v>
      </c>
      <c r="AD13" s="7" t="str">
        <f>IF(ISBLANK('[1]Lithium Peripheral Studies'!I12),"",'[1]Lithium Peripheral Studies'!I12)</f>
        <v>+ transparent</v>
      </c>
      <c r="AE13" s="7" t="str">
        <f>IF(ISBLANK('[1]Lithium Peripheral Studies'!J12),"",'[1]Lithium Peripheral Studies'!J12)</f>
        <v>Brine, LiOH ∗ H2O, Minerals</v>
      </c>
    </row>
    <row r="14" spans="1:37" ht="28.05" customHeight="1" x14ac:dyDescent="0.3">
      <c r="A14" s="2" t="s">
        <v>130</v>
      </c>
      <c r="B14" s="2">
        <v>2.02</v>
      </c>
      <c r="C14" s="2" t="s">
        <v>66</v>
      </c>
      <c r="D14" s="1" t="str">
        <f t="shared" si="0"/>
        <v/>
      </c>
      <c r="E14" s="3" t="str">
        <f>IF(ISBLANK('[1]Lithium Qualified Studies'!A13),"",'[1]Lithium Qualified Studies'!A13)</f>
        <v/>
      </c>
      <c r="F14" s="3" t="str">
        <f>IF(ISBLANK('[1]Lithium Qualified Studies'!B13),"",'[1]Lithium Qualified Studies'!B13)</f>
        <v/>
      </c>
      <c r="G14" s="3" t="str">
        <f>IF(ISBLANK('[1]Lithium Qualified Studies'!C13),"",'[1]Lithium Qualified Studies'!C13)</f>
        <v/>
      </c>
      <c r="H14" s="3" t="str">
        <f>IF(ISBLANK('[1]Lithium Qualified Studies'!D13),"",'[1]Lithium Qualified Studies'!D13)</f>
        <v/>
      </c>
      <c r="I14" s="3" t="str">
        <f>IF(ISBLANK('[1]Lithium Qualified Studies'!E13),"",'[1]Lithium Qualified Studies'!E13)</f>
        <v/>
      </c>
      <c r="J14" s="3" t="str">
        <f>IF(ISBLANK('[1]Lithium Qualified Studies'!F13),"",'[1]Lithium Qualified Studies'!F13)</f>
        <v/>
      </c>
      <c r="K14" s="3" t="str">
        <f>IF(ISBLANK('[1]Lithium Qualified Studies'!G13),"",'[1]Lithium Qualified Studies'!G13)</f>
        <v/>
      </c>
      <c r="L14" s="3" t="str">
        <f>IF(ISBLANK('[1]Lithium Qualified Studies'!H13),"",'[1]Lithium Qualified Studies'!H13)</f>
        <v/>
      </c>
      <c r="M14" s="3" t="str">
        <f>IF(ISBLANK('[1]Lithium Qualified Studies'!I13),"",'[1]Lithium Qualified Studies'!I13)</f>
        <v/>
      </c>
      <c r="N14" s="3" t="str">
        <f>IF(ISBLANK('[1]Lithium Qualified Studies'!J13),"",'[1]Lithium Qualified Studies'!J13)</f>
        <v/>
      </c>
      <c r="O14" s="3" t="str">
        <f>IF(ISBLANK('[1]Lithium Qualified Studies'!K13),"",'[1]Lithium Qualified Studies'!K13)</f>
        <v/>
      </c>
      <c r="P14" s="3" t="str">
        <f>IF(ISBLANK('[1]Lithium Qualified Studies'!L13),"",'[1]Lithium Qualified Studies'!L13)</f>
        <v/>
      </c>
      <c r="Q14" s="3" t="str">
        <f>IF(ISBLANK('[1]Lithium Qualified Studies'!M13),"",'[1]Lithium Qualified Studies'!M13)</f>
        <v/>
      </c>
      <c r="R14" s="3" t="str">
        <f>IF(ISBLANK('[1]Lithium Qualified Studies'!N13),"",'[1]Lithium Qualified Studies'!N13)</f>
        <v/>
      </c>
      <c r="S14" s="8"/>
      <c r="T14" s="8"/>
      <c r="U14" s="6" t="s">
        <v>35</v>
      </c>
      <c r="V14" s="7" t="str">
        <f>IF(ISBLANK('[1]Lithium Peripheral Studies'!A13),"",'[1]Lithium Peripheral Studies'!A13)</f>
        <v>Telsnig et al. (2017)</v>
      </c>
      <c r="W14" s="7" t="str">
        <f>IF(ISBLANK('[1]Lithium Peripheral Studies'!B13),"",'[1]Lithium Peripheral Studies'!B13)</f>
        <v>Opportunities to integrate solar technologies into the Chilean lithium mining industry – reducing process related GHG emissions of a strategic storage resource</v>
      </c>
      <c r="X14" s="7" t="str">
        <f>IF(ISBLANK('[1]Lithium Peripheral Studies'!C13),"",'[1]Lithium Peripheral Studies'!C13)</f>
        <v>https://doi.org/10.1063/1.4984491</v>
      </c>
      <c r="Y14" s="7" t="str">
        <f>IF(ISBLANK('[1]Lithium Peripheral Studies'!D13),"",'[1]Lithium Peripheral Studies'!D13)</f>
        <v>Literature</v>
      </c>
      <c r="Z14" s="7" t="str">
        <f>IF(ISBLANK('[1]Lithium Peripheral Studies'!E13),"",'[1]Lithium Peripheral Studies'!E13)</f>
        <v>2.5 kg CO2eq/kg Li2CO3</v>
      </c>
      <c r="AA14" s="7" t="str">
        <f>IF(ISBLANK('[1]Lithium Peripheral Studies'!F13),"",'[1]Lithium Peripheral Studies'!F13)</f>
        <v>probably no → “..the LCI data presented in this study only refers to average data of the last two plant extensions […]”</v>
      </c>
      <c r="AB14" s="7" t="str">
        <f>IF(ISBLANK('[1]Lithium Peripheral Studies'!G13),"",'[1]Lithium Peripheral Studies'!G13)</f>
        <v>1 kg of lithium carbonate (Li2CO3)</v>
      </c>
      <c r="AC14" s="7" t="str">
        <f>IF(ISBLANK('[1]Lithium Peripheral Studies'!H13),"",'[1]Lithium Peripheral Studies'!H13)</f>
        <v>see screenshot</v>
      </c>
      <c r="AD14" s="7" t="str">
        <f>IF(ISBLANK('[1]Lithium Peripheral Studies'!I13),"",'[1]Lithium Peripheral Studies'!I13)</f>
        <v>+ transparent, - intransparent</v>
      </c>
      <c r="AE14" s="7" t="str">
        <f>IF(ISBLANK('[1]Lithium Peripheral Studies'!J13),"",'[1]Lithium Peripheral Studies'!J13)</f>
        <v>Brine, Li2CO3</v>
      </c>
    </row>
    <row r="15" spans="1:37" x14ac:dyDescent="0.3">
      <c r="A15" s="2" t="s">
        <v>131</v>
      </c>
      <c r="B15" s="2">
        <v>2.27</v>
      </c>
      <c r="C15" s="2" t="s">
        <v>66</v>
      </c>
      <c r="D15" s="1" t="str">
        <f t="shared" si="0"/>
        <v/>
      </c>
      <c r="E15" s="3" t="str">
        <f>IF(ISBLANK('[1]Lithium Qualified Studies'!A14),"",'[1]Lithium Qualified Studies'!A14)</f>
        <v/>
      </c>
      <c r="F15" s="3" t="str">
        <f>IF(ISBLANK('[1]Lithium Qualified Studies'!B14),"",'[1]Lithium Qualified Studies'!B14)</f>
        <v/>
      </c>
      <c r="G15" s="3" t="str">
        <f>IF(ISBLANK('[1]Lithium Qualified Studies'!C14),"",'[1]Lithium Qualified Studies'!C14)</f>
        <v/>
      </c>
      <c r="H15" s="3" t="str">
        <f>IF(ISBLANK('[1]Lithium Qualified Studies'!D14),"",'[1]Lithium Qualified Studies'!D14)</f>
        <v/>
      </c>
      <c r="I15" s="3" t="str">
        <f>IF(ISBLANK('[1]Lithium Qualified Studies'!E14),"",'[1]Lithium Qualified Studies'!E14)</f>
        <v/>
      </c>
      <c r="J15" s="3" t="str">
        <f>IF(ISBLANK('[1]Lithium Qualified Studies'!F14),"",'[1]Lithium Qualified Studies'!F14)</f>
        <v/>
      </c>
      <c r="K15" s="3" t="str">
        <f>IF(ISBLANK('[1]Lithium Qualified Studies'!G14),"",'[1]Lithium Qualified Studies'!G14)</f>
        <v/>
      </c>
      <c r="L15" s="3" t="str">
        <f>IF(ISBLANK('[1]Lithium Qualified Studies'!H14),"",'[1]Lithium Qualified Studies'!H14)</f>
        <v/>
      </c>
      <c r="M15" s="3" t="str">
        <f>IF(ISBLANK('[1]Lithium Qualified Studies'!I14),"",'[1]Lithium Qualified Studies'!I14)</f>
        <v/>
      </c>
      <c r="N15" s="3" t="str">
        <f>IF(ISBLANK('[1]Lithium Qualified Studies'!J14),"",'[1]Lithium Qualified Studies'!J14)</f>
        <v/>
      </c>
      <c r="O15" s="3" t="str">
        <f>IF(ISBLANK('[1]Lithium Qualified Studies'!K14),"",'[1]Lithium Qualified Studies'!K14)</f>
        <v/>
      </c>
      <c r="P15" s="3" t="str">
        <f>IF(ISBLANK('[1]Lithium Qualified Studies'!L14),"",'[1]Lithium Qualified Studies'!L14)</f>
        <v/>
      </c>
      <c r="Q15" s="3" t="str">
        <f>IF(ISBLANK('[1]Lithium Qualified Studies'!M14),"",'[1]Lithium Qualified Studies'!M14)</f>
        <v/>
      </c>
      <c r="R15" s="3" t="str">
        <f>IF(ISBLANK('[1]Lithium Qualified Studies'!N14),"",'[1]Lithium Qualified Studies'!N14)</f>
        <v/>
      </c>
      <c r="S15" s="8"/>
      <c r="T15" s="8"/>
      <c r="V15" s="7" t="str">
        <f>IF(ISBLANK('[1]Lithium Peripheral Studies'!A14),"",'[1]Lithium Peripheral Studies'!A14)</f>
        <v/>
      </c>
      <c r="W15" s="7" t="str">
        <f>IF(ISBLANK('[1]Lithium Peripheral Studies'!B14),"",'[1]Lithium Peripheral Studies'!B14)</f>
        <v/>
      </c>
      <c r="X15" s="7" t="str">
        <f>IF(ISBLANK('[1]Lithium Peripheral Studies'!C14),"",'[1]Lithium Peripheral Studies'!C14)</f>
        <v/>
      </c>
      <c r="Y15" s="7" t="str">
        <f>IF(ISBLANK('[1]Lithium Peripheral Studies'!D14),"",'[1]Lithium Peripheral Studies'!D14)</f>
        <v/>
      </c>
      <c r="Z15" s="7" t="str">
        <f>IF(ISBLANK('[1]Lithium Peripheral Studies'!E14),"",'[1]Lithium Peripheral Studies'!E14)</f>
        <v/>
      </c>
      <c r="AA15" s="7" t="str">
        <f>IF(ISBLANK('[1]Lithium Peripheral Studies'!F14),"",'[1]Lithium Peripheral Studies'!F14)</f>
        <v/>
      </c>
      <c r="AB15" s="7" t="str">
        <f>IF(ISBLANK('[1]Lithium Peripheral Studies'!G14),"",'[1]Lithium Peripheral Studies'!G14)</f>
        <v/>
      </c>
      <c r="AC15" s="7" t="str">
        <f>IF(ISBLANK('[1]Lithium Peripheral Studies'!H14),"",'[1]Lithium Peripheral Studies'!H14)</f>
        <v/>
      </c>
      <c r="AD15" s="7" t="str">
        <f>IF(ISBLANK('[1]Lithium Peripheral Studies'!I14),"",'[1]Lithium Peripheral Studies'!I14)</f>
        <v/>
      </c>
      <c r="AE15" s="7" t="str">
        <f>IF(ISBLANK('[1]Lithium Peripheral Studies'!J14),"",'[1]Lithium Peripheral Studies'!J14)</f>
        <v/>
      </c>
    </row>
    <row r="16" spans="1:37" x14ac:dyDescent="0.3">
      <c r="A16" s="2" t="s">
        <v>132</v>
      </c>
      <c r="B16" s="2">
        <v>2.62</v>
      </c>
      <c r="C16" s="2" t="s">
        <v>66</v>
      </c>
      <c r="D16" s="1" t="str">
        <f t="shared" si="0"/>
        <v/>
      </c>
      <c r="E16" s="3" t="str">
        <f>IF(ISBLANK('[1]Lithium Qualified Studies'!A15),"",'[1]Lithium Qualified Studies'!A15)</f>
        <v/>
      </c>
      <c r="F16" s="3" t="str">
        <f>IF(ISBLANK('[1]Lithium Qualified Studies'!B15),"",'[1]Lithium Qualified Studies'!B15)</f>
        <v/>
      </c>
      <c r="G16" s="3" t="str">
        <f>IF(ISBLANK('[1]Lithium Qualified Studies'!C15),"",'[1]Lithium Qualified Studies'!C15)</f>
        <v/>
      </c>
      <c r="H16" s="3" t="str">
        <f>IF(ISBLANK('[1]Lithium Qualified Studies'!D15),"",'[1]Lithium Qualified Studies'!D15)</f>
        <v/>
      </c>
      <c r="I16" s="3" t="str">
        <f>IF(ISBLANK('[1]Lithium Qualified Studies'!E15),"",'[1]Lithium Qualified Studies'!E15)</f>
        <v/>
      </c>
      <c r="J16" s="3" t="str">
        <f>IF(ISBLANK('[1]Lithium Qualified Studies'!F15),"",'[1]Lithium Qualified Studies'!F15)</f>
        <v/>
      </c>
      <c r="K16" s="3" t="str">
        <f>IF(ISBLANK('[1]Lithium Qualified Studies'!G15),"",'[1]Lithium Qualified Studies'!G15)</f>
        <v/>
      </c>
      <c r="L16" s="3" t="str">
        <f>IF(ISBLANK('[1]Lithium Qualified Studies'!H15),"",'[1]Lithium Qualified Studies'!H15)</f>
        <v/>
      </c>
      <c r="M16" s="3" t="str">
        <f>IF(ISBLANK('[1]Lithium Qualified Studies'!I15),"",'[1]Lithium Qualified Studies'!I15)</f>
        <v/>
      </c>
      <c r="N16" s="3" t="str">
        <f>IF(ISBLANK('[1]Lithium Qualified Studies'!J15),"",'[1]Lithium Qualified Studies'!J15)</f>
        <v/>
      </c>
      <c r="O16" s="3" t="str">
        <f>IF(ISBLANK('[1]Lithium Qualified Studies'!K15),"",'[1]Lithium Qualified Studies'!K15)</f>
        <v/>
      </c>
      <c r="P16" s="3" t="str">
        <f>IF(ISBLANK('[1]Lithium Qualified Studies'!L15),"",'[1]Lithium Qualified Studies'!L15)</f>
        <v/>
      </c>
      <c r="Q16" s="3" t="str">
        <f>IF(ISBLANK('[1]Lithium Qualified Studies'!M15),"",'[1]Lithium Qualified Studies'!M15)</f>
        <v/>
      </c>
      <c r="R16" s="3" t="str">
        <f>IF(ISBLANK('[1]Lithium Qualified Studies'!N15),"",'[1]Lithium Qualified Studies'!N15)</f>
        <v/>
      </c>
      <c r="S16" s="8"/>
      <c r="T16" s="8"/>
      <c r="V16" s="7" t="str">
        <f>IF(ISBLANK('[1]Lithium Peripheral Studies'!A15),"",'[1]Lithium Peripheral Studies'!A15)</f>
        <v/>
      </c>
      <c r="W16" s="7" t="str">
        <f>IF(ISBLANK('[1]Lithium Peripheral Studies'!B15),"",'[1]Lithium Peripheral Studies'!B15)</f>
        <v/>
      </c>
      <c r="X16" s="7" t="str">
        <f>IF(ISBLANK('[1]Lithium Peripheral Studies'!C15),"",'[1]Lithium Peripheral Studies'!C15)</f>
        <v/>
      </c>
      <c r="Y16" s="7" t="str">
        <f>IF(ISBLANK('[1]Lithium Peripheral Studies'!D15),"",'[1]Lithium Peripheral Studies'!D15)</f>
        <v/>
      </c>
      <c r="Z16" s="7" t="str">
        <f>IF(ISBLANK('[1]Lithium Peripheral Studies'!E15),"",'[1]Lithium Peripheral Studies'!E15)</f>
        <v/>
      </c>
      <c r="AA16" s="7" t="str">
        <f>IF(ISBLANK('[1]Lithium Peripheral Studies'!F15),"",'[1]Lithium Peripheral Studies'!F15)</f>
        <v/>
      </c>
      <c r="AB16" s="7" t="str">
        <f>IF(ISBLANK('[1]Lithium Peripheral Studies'!G15),"",'[1]Lithium Peripheral Studies'!G15)</f>
        <v/>
      </c>
      <c r="AC16" s="7" t="str">
        <f>IF(ISBLANK('[1]Lithium Peripheral Studies'!H15),"",'[1]Lithium Peripheral Studies'!H15)</f>
        <v/>
      </c>
      <c r="AD16" s="7" t="str">
        <f>IF(ISBLANK('[1]Lithium Peripheral Studies'!I15),"",'[1]Lithium Peripheral Studies'!I15)</f>
        <v/>
      </c>
      <c r="AE16" s="7" t="str">
        <f>IF(ISBLANK('[1]Lithium Peripheral Studies'!J15),"",'[1]Lithium Peripheral Studies'!J15)</f>
        <v/>
      </c>
    </row>
    <row r="17" spans="1:31" x14ac:dyDescent="0.3">
      <c r="A17" s="2" t="s">
        <v>133</v>
      </c>
      <c r="B17" s="2">
        <v>15.69</v>
      </c>
      <c r="C17" s="2" t="s">
        <v>66</v>
      </c>
      <c r="D17" s="1" t="str">
        <f t="shared" si="0"/>
        <v/>
      </c>
      <c r="E17" s="3" t="str">
        <f>IF(ISBLANK('[1]Lithium Qualified Studies'!A16),"",'[1]Lithium Qualified Studies'!A16)</f>
        <v/>
      </c>
      <c r="F17" s="3" t="str">
        <f>IF(ISBLANK('[1]Lithium Qualified Studies'!B16),"",'[1]Lithium Qualified Studies'!B16)</f>
        <v/>
      </c>
      <c r="G17" s="3" t="str">
        <f>IF(ISBLANK('[1]Lithium Qualified Studies'!C16),"",'[1]Lithium Qualified Studies'!C16)</f>
        <v/>
      </c>
      <c r="H17" s="3" t="str">
        <f>IF(ISBLANK('[1]Lithium Qualified Studies'!D16),"",'[1]Lithium Qualified Studies'!D16)</f>
        <v/>
      </c>
      <c r="I17" s="3" t="str">
        <f>IF(ISBLANK('[1]Lithium Qualified Studies'!E16),"",'[1]Lithium Qualified Studies'!E16)</f>
        <v/>
      </c>
      <c r="J17" s="3" t="str">
        <f>IF(ISBLANK('[1]Lithium Qualified Studies'!F16),"",'[1]Lithium Qualified Studies'!F16)</f>
        <v/>
      </c>
      <c r="K17" s="3" t="str">
        <f>IF(ISBLANK('[1]Lithium Qualified Studies'!G16),"",'[1]Lithium Qualified Studies'!G16)</f>
        <v/>
      </c>
      <c r="L17" s="3" t="str">
        <f>IF(ISBLANK('[1]Lithium Qualified Studies'!H16),"",'[1]Lithium Qualified Studies'!H16)</f>
        <v/>
      </c>
      <c r="M17" s="3" t="str">
        <f>IF(ISBLANK('[1]Lithium Qualified Studies'!I16),"",'[1]Lithium Qualified Studies'!I16)</f>
        <v/>
      </c>
      <c r="N17" s="3" t="str">
        <f>IF(ISBLANK('[1]Lithium Qualified Studies'!J16),"",'[1]Lithium Qualified Studies'!J16)</f>
        <v/>
      </c>
      <c r="O17" s="3" t="str">
        <f>IF(ISBLANK('[1]Lithium Qualified Studies'!K16),"",'[1]Lithium Qualified Studies'!K16)</f>
        <v/>
      </c>
      <c r="P17" s="3" t="str">
        <f>IF(ISBLANK('[1]Lithium Qualified Studies'!L16),"",'[1]Lithium Qualified Studies'!L16)</f>
        <v/>
      </c>
      <c r="Q17" s="3" t="str">
        <f>IF(ISBLANK('[1]Lithium Qualified Studies'!M16),"",'[1]Lithium Qualified Studies'!M16)</f>
        <v/>
      </c>
      <c r="R17" s="3" t="str">
        <f>IF(ISBLANK('[1]Lithium Qualified Studies'!N16),"",'[1]Lithium Qualified Studies'!N16)</f>
        <v/>
      </c>
      <c r="S17" s="8"/>
      <c r="T17" s="8"/>
      <c r="V17" s="7" t="str">
        <f>IF(ISBLANK('[1]Lithium Peripheral Studies'!A16),"",'[1]Lithium Peripheral Studies'!A16)</f>
        <v/>
      </c>
      <c r="W17" s="7" t="str">
        <f>IF(ISBLANK('[1]Lithium Peripheral Studies'!B16),"",'[1]Lithium Peripheral Studies'!B16)</f>
        <v/>
      </c>
      <c r="X17" s="7" t="str">
        <f>IF(ISBLANK('[1]Lithium Peripheral Studies'!C16),"",'[1]Lithium Peripheral Studies'!C16)</f>
        <v/>
      </c>
      <c r="Y17" s="7" t="str">
        <f>IF(ISBLANK('[1]Lithium Peripheral Studies'!D16),"",'[1]Lithium Peripheral Studies'!D16)</f>
        <v/>
      </c>
      <c r="Z17" s="7" t="str">
        <f>IF(ISBLANK('[1]Lithium Peripheral Studies'!E16),"",'[1]Lithium Peripheral Studies'!E16)</f>
        <v/>
      </c>
      <c r="AA17" s="7" t="str">
        <f>IF(ISBLANK('[1]Lithium Peripheral Studies'!F16),"",'[1]Lithium Peripheral Studies'!F16)</f>
        <v/>
      </c>
      <c r="AB17" s="7" t="str">
        <f>IF(ISBLANK('[1]Lithium Peripheral Studies'!G16),"",'[1]Lithium Peripheral Studies'!G16)</f>
        <v/>
      </c>
      <c r="AC17" s="7" t="str">
        <f>IF(ISBLANK('[1]Lithium Peripheral Studies'!H16),"",'[1]Lithium Peripheral Studies'!H16)</f>
        <v/>
      </c>
      <c r="AD17" s="7" t="str">
        <f>IF(ISBLANK('[1]Lithium Peripheral Studies'!I16),"",'[1]Lithium Peripheral Studies'!I16)</f>
        <v/>
      </c>
      <c r="AE17" s="7" t="str">
        <f>IF(ISBLANK('[1]Lithium Peripheral Studies'!J16),"",'[1]Lithium Peripheral Studies'!J16)</f>
        <v/>
      </c>
    </row>
    <row r="18" spans="1:31" x14ac:dyDescent="0.3">
      <c r="A18" s="2" t="s">
        <v>134</v>
      </c>
      <c r="B18" s="2">
        <v>0.32900000000000001</v>
      </c>
      <c r="C18" s="2" t="s">
        <v>66</v>
      </c>
      <c r="D18" s="1" t="str">
        <f t="shared" si="0"/>
        <v/>
      </c>
      <c r="E18" s="3" t="str">
        <f>IF(ISBLANK('[1]Lithium Qualified Studies'!A17),"",'[1]Lithium Qualified Studies'!A17)</f>
        <v/>
      </c>
      <c r="F18" s="3" t="str">
        <f>IF(ISBLANK('[1]Lithium Qualified Studies'!B17),"",'[1]Lithium Qualified Studies'!B17)</f>
        <v/>
      </c>
      <c r="G18" s="3" t="str">
        <f>IF(ISBLANK('[1]Lithium Qualified Studies'!C17),"",'[1]Lithium Qualified Studies'!C17)</f>
        <v/>
      </c>
      <c r="H18" s="3" t="str">
        <f>IF(ISBLANK('[1]Lithium Qualified Studies'!D17),"",'[1]Lithium Qualified Studies'!D17)</f>
        <v/>
      </c>
      <c r="I18" s="3" t="str">
        <f>IF(ISBLANK('[1]Lithium Qualified Studies'!E17),"",'[1]Lithium Qualified Studies'!E17)</f>
        <v/>
      </c>
      <c r="J18" s="3" t="str">
        <f>IF(ISBLANK('[1]Lithium Qualified Studies'!F17),"",'[1]Lithium Qualified Studies'!F17)</f>
        <v/>
      </c>
      <c r="K18" s="3" t="str">
        <f>IF(ISBLANK('[1]Lithium Qualified Studies'!G17),"",'[1]Lithium Qualified Studies'!G17)</f>
        <v/>
      </c>
      <c r="L18" s="3" t="str">
        <f>IF(ISBLANK('[1]Lithium Qualified Studies'!H17),"",'[1]Lithium Qualified Studies'!H17)</f>
        <v/>
      </c>
      <c r="M18" s="3" t="str">
        <f>IF(ISBLANK('[1]Lithium Qualified Studies'!I17),"",'[1]Lithium Qualified Studies'!I17)</f>
        <v/>
      </c>
      <c r="N18" s="3" t="str">
        <f>IF(ISBLANK('[1]Lithium Qualified Studies'!J17),"",'[1]Lithium Qualified Studies'!J17)</f>
        <v/>
      </c>
      <c r="O18" s="3" t="str">
        <f>IF(ISBLANK('[1]Lithium Qualified Studies'!K17),"",'[1]Lithium Qualified Studies'!K17)</f>
        <v/>
      </c>
      <c r="P18" s="3" t="str">
        <f>IF(ISBLANK('[1]Lithium Qualified Studies'!L17),"",'[1]Lithium Qualified Studies'!L17)</f>
        <v/>
      </c>
      <c r="Q18" s="3" t="str">
        <f>IF(ISBLANK('[1]Lithium Qualified Studies'!M17),"",'[1]Lithium Qualified Studies'!M17)</f>
        <v/>
      </c>
      <c r="R18" s="3" t="str">
        <f>IF(ISBLANK('[1]Lithium Qualified Studies'!N17),"",'[1]Lithium Qualified Studies'!N17)</f>
        <v/>
      </c>
      <c r="S18" s="8"/>
      <c r="T18" s="8"/>
      <c r="V18" s="7" t="str">
        <f>IF(ISBLANK('[1]Lithium Peripheral Studies'!A17),"",'[1]Lithium Peripheral Studies'!A17)</f>
        <v/>
      </c>
      <c r="W18" s="7" t="str">
        <f>IF(ISBLANK('[1]Lithium Peripheral Studies'!B17),"",'[1]Lithium Peripheral Studies'!B17)</f>
        <v/>
      </c>
      <c r="X18" s="7" t="str">
        <f>IF(ISBLANK('[1]Lithium Peripheral Studies'!C17),"",'[1]Lithium Peripheral Studies'!C17)</f>
        <v/>
      </c>
      <c r="Y18" s="7" t="str">
        <f>IF(ISBLANK('[1]Lithium Peripheral Studies'!D17),"",'[1]Lithium Peripheral Studies'!D17)</f>
        <v/>
      </c>
      <c r="Z18" s="7" t="str">
        <f>IF(ISBLANK('[1]Lithium Peripheral Studies'!E17),"",'[1]Lithium Peripheral Studies'!E17)</f>
        <v/>
      </c>
      <c r="AA18" s="7" t="str">
        <f>IF(ISBLANK('[1]Lithium Peripheral Studies'!F17),"",'[1]Lithium Peripheral Studies'!F17)</f>
        <v/>
      </c>
      <c r="AB18" s="7" t="str">
        <f>IF(ISBLANK('[1]Lithium Peripheral Studies'!G17),"",'[1]Lithium Peripheral Studies'!G17)</f>
        <v/>
      </c>
      <c r="AC18" s="7" t="str">
        <f>IF(ISBLANK('[1]Lithium Peripheral Studies'!H17),"",'[1]Lithium Peripheral Studies'!H17)</f>
        <v/>
      </c>
      <c r="AD18" s="7" t="str">
        <f>IF(ISBLANK('[1]Lithium Peripheral Studies'!I17),"",'[1]Lithium Peripheral Studies'!I17)</f>
        <v/>
      </c>
      <c r="AE18" s="7" t="str">
        <f>IF(ISBLANK('[1]Lithium Peripheral Studies'!J17),"",'[1]Lithium Peripheral Studies'!J17)</f>
        <v/>
      </c>
    </row>
    <row r="19" spans="1:31" x14ac:dyDescent="0.3">
      <c r="A19" s="2" t="s">
        <v>668</v>
      </c>
      <c r="B19" s="2">
        <v>2.8</v>
      </c>
      <c r="C19" s="2" t="s">
        <v>69</v>
      </c>
      <c r="D19" s="1" t="str">
        <f t="shared" si="0"/>
        <v/>
      </c>
      <c r="E19" s="3" t="str">
        <f>IF(ISBLANK('[1]Lithium Qualified Studies'!A18),"",'[1]Lithium Qualified Studies'!A18)</f>
        <v/>
      </c>
      <c r="F19" s="3" t="str">
        <f>IF(ISBLANK('[1]Lithium Qualified Studies'!B18),"",'[1]Lithium Qualified Studies'!B18)</f>
        <v/>
      </c>
      <c r="G19" s="3" t="str">
        <f>IF(ISBLANK('[1]Lithium Qualified Studies'!C18),"",'[1]Lithium Qualified Studies'!C18)</f>
        <v/>
      </c>
      <c r="H19" s="3" t="str">
        <f>IF(ISBLANK('[1]Lithium Qualified Studies'!D18),"",'[1]Lithium Qualified Studies'!D18)</f>
        <v/>
      </c>
      <c r="I19" s="3" t="str">
        <f>IF(ISBLANK('[1]Lithium Qualified Studies'!E18),"",'[1]Lithium Qualified Studies'!E18)</f>
        <v/>
      </c>
      <c r="J19" s="3" t="str">
        <f>IF(ISBLANK('[1]Lithium Qualified Studies'!F18),"",'[1]Lithium Qualified Studies'!F18)</f>
        <v/>
      </c>
      <c r="K19" s="3" t="str">
        <f>IF(ISBLANK('[1]Lithium Qualified Studies'!G18),"",'[1]Lithium Qualified Studies'!G18)</f>
        <v/>
      </c>
      <c r="L19" s="3" t="str">
        <f>IF(ISBLANK('[1]Lithium Qualified Studies'!H18),"",'[1]Lithium Qualified Studies'!H18)</f>
        <v/>
      </c>
      <c r="M19" s="3" t="str">
        <f>IF(ISBLANK('[1]Lithium Qualified Studies'!I18),"",'[1]Lithium Qualified Studies'!I18)</f>
        <v/>
      </c>
      <c r="N19" s="3" t="str">
        <f>IF(ISBLANK('[1]Lithium Qualified Studies'!J18),"",'[1]Lithium Qualified Studies'!J18)</f>
        <v/>
      </c>
      <c r="O19" s="3" t="str">
        <f>IF(ISBLANK('[1]Lithium Qualified Studies'!K18),"",'[1]Lithium Qualified Studies'!K18)</f>
        <v/>
      </c>
      <c r="P19" s="3" t="str">
        <f>IF(ISBLANK('[1]Lithium Qualified Studies'!L18),"",'[1]Lithium Qualified Studies'!L18)</f>
        <v/>
      </c>
      <c r="Q19" s="3" t="str">
        <f>IF(ISBLANK('[1]Lithium Qualified Studies'!M18),"",'[1]Lithium Qualified Studies'!M18)</f>
        <v/>
      </c>
      <c r="R19" s="3" t="str">
        <f>IF(ISBLANK('[1]Lithium Qualified Studies'!N18),"",'[1]Lithium Qualified Studies'!N18)</f>
        <v/>
      </c>
      <c r="S19" s="8"/>
      <c r="T19" s="8"/>
      <c r="V19" s="7" t="str">
        <f>IF(ISBLANK('[1]Lithium Peripheral Studies'!A18),"",'[1]Lithium Peripheral Studies'!A18)</f>
        <v/>
      </c>
      <c r="W19" s="7" t="str">
        <f>IF(ISBLANK('[1]Lithium Peripheral Studies'!B18),"",'[1]Lithium Peripheral Studies'!B18)</f>
        <v/>
      </c>
      <c r="X19" s="7" t="str">
        <f>IF(ISBLANK('[1]Lithium Peripheral Studies'!C18),"",'[1]Lithium Peripheral Studies'!C18)</f>
        <v/>
      </c>
      <c r="Y19" s="7" t="str">
        <f>IF(ISBLANK('[1]Lithium Peripheral Studies'!D18),"",'[1]Lithium Peripheral Studies'!D18)</f>
        <v/>
      </c>
      <c r="Z19" s="7" t="str">
        <f>IF(ISBLANK('[1]Lithium Peripheral Studies'!E18),"",'[1]Lithium Peripheral Studies'!E18)</f>
        <v/>
      </c>
      <c r="AA19" s="7" t="str">
        <f>IF(ISBLANK('[1]Lithium Peripheral Studies'!F18),"",'[1]Lithium Peripheral Studies'!F18)</f>
        <v/>
      </c>
      <c r="AB19" s="7" t="str">
        <f>IF(ISBLANK('[1]Lithium Peripheral Studies'!G18),"",'[1]Lithium Peripheral Studies'!G18)</f>
        <v/>
      </c>
      <c r="AC19" s="7" t="str">
        <f>IF(ISBLANK('[1]Lithium Peripheral Studies'!H18),"",'[1]Lithium Peripheral Studies'!H18)</f>
        <v/>
      </c>
      <c r="AD19" s="7" t="str">
        <f>IF(ISBLANK('[1]Lithium Peripheral Studies'!I18),"",'[1]Lithium Peripheral Studies'!I18)</f>
        <v/>
      </c>
      <c r="AE19" s="7" t="str">
        <f>IF(ISBLANK('[1]Lithium Peripheral Studies'!J18),"",'[1]Lithium Peripheral Studies'!J18)</f>
        <v/>
      </c>
    </row>
    <row r="20" spans="1:31" x14ac:dyDescent="0.3">
      <c r="A20" s="2" t="s">
        <v>669</v>
      </c>
      <c r="B20" s="2">
        <v>20.2</v>
      </c>
      <c r="C20" s="2" t="s">
        <v>69</v>
      </c>
      <c r="D20" s="1" t="str">
        <f t="shared" si="0"/>
        <v/>
      </c>
      <c r="E20" s="3" t="str">
        <f>IF(ISBLANK('[1]Lithium Qualified Studies'!A19),"",'[1]Lithium Qualified Studies'!A19)</f>
        <v/>
      </c>
      <c r="F20" s="3" t="str">
        <f>IF(ISBLANK('[1]Lithium Qualified Studies'!B19),"",'[1]Lithium Qualified Studies'!B19)</f>
        <v/>
      </c>
      <c r="G20" s="3" t="str">
        <f>IF(ISBLANK('[1]Lithium Qualified Studies'!C19),"",'[1]Lithium Qualified Studies'!C19)</f>
        <v/>
      </c>
      <c r="H20" s="3" t="str">
        <f>IF(ISBLANK('[1]Lithium Qualified Studies'!D19),"",'[1]Lithium Qualified Studies'!D19)</f>
        <v/>
      </c>
      <c r="I20" s="3" t="str">
        <f>IF(ISBLANK('[1]Lithium Qualified Studies'!E19),"",'[1]Lithium Qualified Studies'!E19)</f>
        <v/>
      </c>
      <c r="J20" s="3" t="str">
        <f>IF(ISBLANK('[1]Lithium Qualified Studies'!F19),"",'[1]Lithium Qualified Studies'!F19)</f>
        <v/>
      </c>
      <c r="K20" s="3" t="str">
        <f>IF(ISBLANK('[1]Lithium Qualified Studies'!G19),"",'[1]Lithium Qualified Studies'!G19)</f>
        <v/>
      </c>
      <c r="L20" s="3" t="str">
        <f>IF(ISBLANK('[1]Lithium Qualified Studies'!H19),"",'[1]Lithium Qualified Studies'!H19)</f>
        <v/>
      </c>
      <c r="M20" s="3" t="str">
        <f>IF(ISBLANK('[1]Lithium Qualified Studies'!I19),"",'[1]Lithium Qualified Studies'!I19)</f>
        <v/>
      </c>
      <c r="N20" s="3" t="str">
        <f>IF(ISBLANK('[1]Lithium Qualified Studies'!J19),"",'[1]Lithium Qualified Studies'!J19)</f>
        <v/>
      </c>
      <c r="O20" s="3" t="str">
        <f>IF(ISBLANK('[1]Lithium Qualified Studies'!K19),"",'[1]Lithium Qualified Studies'!K19)</f>
        <v/>
      </c>
      <c r="P20" s="3" t="str">
        <f>IF(ISBLANK('[1]Lithium Qualified Studies'!L19),"",'[1]Lithium Qualified Studies'!L19)</f>
        <v/>
      </c>
      <c r="Q20" s="3" t="str">
        <f>IF(ISBLANK('[1]Lithium Qualified Studies'!M19),"",'[1]Lithium Qualified Studies'!M19)</f>
        <v/>
      </c>
      <c r="R20" s="3" t="str">
        <f>IF(ISBLANK('[1]Lithium Qualified Studies'!N19),"",'[1]Lithium Qualified Studies'!N19)</f>
        <v/>
      </c>
      <c r="S20" s="8"/>
      <c r="T20" s="8"/>
    </row>
    <row r="21" spans="1:31" x14ac:dyDescent="0.3">
      <c r="A21" s="2" t="s">
        <v>670</v>
      </c>
      <c r="B21" s="2">
        <v>9.5289000000000001</v>
      </c>
      <c r="C21" s="2" t="s">
        <v>69</v>
      </c>
      <c r="D21" s="1" t="str">
        <f t="shared" si="0"/>
        <v/>
      </c>
      <c r="E21" s="3" t="str">
        <f>IF(ISBLANK('[1]Lithium Qualified Studies'!A20),"",'[1]Lithium Qualified Studies'!A20)</f>
        <v/>
      </c>
      <c r="F21" s="3" t="str">
        <f>IF(ISBLANK('[1]Lithium Qualified Studies'!B20),"",'[1]Lithium Qualified Studies'!B20)</f>
        <v/>
      </c>
      <c r="G21" s="3" t="str">
        <f>IF(ISBLANK('[1]Lithium Qualified Studies'!C20),"",'[1]Lithium Qualified Studies'!C20)</f>
        <v/>
      </c>
      <c r="H21" s="3" t="str">
        <f>IF(ISBLANK('[1]Lithium Qualified Studies'!D20),"",'[1]Lithium Qualified Studies'!D20)</f>
        <v/>
      </c>
      <c r="I21" s="3" t="str">
        <f>IF(ISBLANK('[1]Lithium Qualified Studies'!E20),"",'[1]Lithium Qualified Studies'!E20)</f>
        <v/>
      </c>
      <c r="J21" s="3" t="str">
        <f>IF(ISBLANK('[1]Lithium Qualified Studies'!F20),"",'[1]Lithium Qualified Studies'!F20)</f>
        <v/>
      </c>
      <c r="K21" s="3" t="str">
        <f>IF(ISBLANK('[1]Lithium Qualified Studies'!G20),"",'[1]Lithium Qualified Studies'!G20)</f>
        <v/>
      </c>
      <c r="L21" s="3" t="str">
        <f>IF(ISBLANK('[1]Lithium Qualified Studies'!H20),"",'[1]Lithium Qualified Studies'!H20)</f>
        <v/>
      </c>
      <c r="M21" s="3" t="str">
        <f>IF(ISBLANK('[1]Lithium Qualified Studies'!I20),"",'[1]Lithium Qualified Studies'!I20)</f>
        <v/>
      </c>
      <c r="N21" s="3" t="str">
        <f>IF(ISBLANK('[1]Lithium Qualified Studies'!J20),"",'[1]Lithium Qualified Studies'!J20)</f>
        <v/>
      </c>
      <c r="O21" s="3" t="str">
        <f>IF(ISBLANK('[1]Lithium Qualified Studies'!K20),"",'[1]Lithium Qualified Studies'!K20)</f>
        <v/>
      </c>
      <c r="P21" s="3" t="str">
        <f>IF(ISBLANK('[1]Lithium Qualified Studies'!L20),"",'[1]Lithium Qualified Studies'!L20)</f>
        <v/>
      </c>
      <c r="Q21" s="3" t="str">
        <f>IF(ISBLANK('[1]Lithium Qualified Studies'!M20),"",'[1]Lithium Qualified Studies'!M20)</f>
        <v/>
      </c>
      <c r="R21" s="3" t="str">
        <f>IF(ISBLANK('[1]Lithium Qualified Studies'!N20),"",'[1]Lithium Qualified Studies'!N20)</f>
        <v/>
      </c>
      <c r="S21" s="8"/>
      <c r="T21" s="8"/>
    </row>
    <row r="22" spans="1:31" x14ac:dyDescent="0.3">
      <c r="A22" s="2" t="s">
        <v>671</v>
      </c>
      <c r="B22" s="2">
        <v>1.0676000000000001</v>
      </c>
      <c r="C22" s="2" t="s">
        <v>69</v>
      </c>
      <c r="D22" s="1" t="str">
        <f t="shared" si="0"/>
        <v/>
      </c>
      <c r="E22" s="3" t="str">
        <f>IF(ISBLANK('[1]Lithium Qualified Studies'!A21),"",'[1]Lithium Qualified Studies'!A21)</f>
        <v/>
      </c>
      <c r="F22" s="3" t="str">
        <f>IF(ISBLANK('[1]Lithium Qualified Studies'!B21),"",'[1]Lithium Qualified Studies'!B21)</f>
        <v/>
      </c>
      <c r="G22" s="3" t="str">
        <f>IF(ISBLANK('[1]Lithium Qualified Studies'!C21),"",'[1]Lithium Qualified Studies'!C21)</f>
        <v/>
      </c>
      <c r="H22" s="3" t="str">
        <f>IF(ISBLANK('[1]Lithium Qualified Studies'!D21),"",'[1]Lithium Qualified Studies'!D21)</f>
        <v/>
      </c>
      <c r="I22" s="3" t="str">
        <f>IF(ISBLANK('[1]Lithium Qualified Studies'!E21),"",'[1]Lithium Qualified Studies'!E21)</f>
        <v/>
      </c>
      <c r="J22" s="3" t="str">
        <f>IF(ISBLANK('[1]Lithium Qualified Studies'!F21),"",'[1]Lithium Qualified Studies'!F21)</f>
        <v/>
      </c>
      <c r="K22" s="3" t="str">
        <f>IF(ISBLANK('[1]Lithium Qualified Studies'!G21),"",'[1]Lithium Qualified Studies'!G21)</f>
        <v/>
      </c>
      <c r="L22" s="3" t="str">
        <f>IF(ISBLANK('[1]Lithium Qualified Studies'!H21),"",'[1]Lithium Qualified Studies'!H21)</f>
        <v/>
      </c>
      <c r="M22" s="3" t="str">
        <f>IF(ISBLANK('[1]Lithium Qualified Studies'!I21),"",'[1]Lithium Qualified Studies'!I21)</f>
        <v/>
      </c>
      <c r="N22" s="3" t="str">
        <f>IF(ISBLANK('[1]Lithium Qualified Studies'!J21),"",'[1]Lithium Qualified Studies'!J21)</f>
        <v/>
      </c>
      <c r="O22" s="3" t="str">
        <f>IF(ISBLANK('[1]Lithium Qualified Studies'!K21),"",'[1]Lithium Qualified Studies'!K21)</f>
        <v/>
      </c>
      <c r="P22" s="3" t="str">
        <f>IF(ISBLANK('[1]Lithium Qualified Studies'!L21),"",'[1]Lithium Qualified Studies'!L21)</f>
        <v/>
      </c>
      <c r="Q22" s="3" t="str">
        <f>IF(ISBLANK('[1]Lithium Qualified Studies'!M21),"",'[1]Lithium Qualified Studies'!M21)</f>
        <v/>
      </c>
      <c r="R22" s="3" t="str">
        <f>IF(ISBLANK('[1]Lithium Qualified Studies'!N21),"",'[1]Lithium Qualified Studies'!N21)</f>
        <v/>
      </c>
      <c r="S22" s="8"/>
      <c r="T22" s="8"/>
    </row>
    <row r="23" spans="1:31" x14ac:dyDescent="0.3">
      <c r="A23" s="2" t="s">
        <v>672</v>
      </c>
      <c r="B23" s="2">
        <v>2.1598000000000002</v>
      </c>
      <c r="C23" s="2" t="s">
        <v>69</v>
      </c>
    </row>
    <row r="51" spans="5:5" x14ac:dyDescent="0.3">
      <c r="E51" s="6"/>
    </row>
    <row r="52" spans="5:5" x14ac:dyDescent="0.3">
      <c r="E52" s="6"/>
    </row>
  </sheetData>
  <mergeCells count="4">
    <mergeCell ref="A1:C1"/>
    <mergeCell ref="E1:R1"/>
    <mergeCell ref="S1:T1"/>
    <mergeCell ref="V1:AE1"/>
  </mergeCells>
  <conditionalFormatting sqref="D1:D1048576">
    <cfRule type="containsText" dxfId="5" priority="1" operator="containsText" text="ERROR">
      <formula>NOT(ISERROR(SEARCH("ERROR",D1)))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CBF2-0CB5-415E-A398-FA10A2DAB9E7}">
  <dimension ref="A1:Z48"/>
  <sheetViews>
    <sheetView zoomScale="70" zoomScaleNormal="70" workbookViewId="0">
      <selection sqref="A1:F1"/>
    </sheetView>
  </sheetViews>
  <sheetFormatPr defaultColWidth="10.6640625" defaultRowHeight="14.4" x14ac:dyDescent="0.3"/>
  <cols>
    <col min="1" max="1" width="30.21875" style="45" customWidth="1"/>
    <col min="2" max="2" width="18.109375" style="45" customWidth="1"/>
    <col min="3" max="3" width="16.88671875" style="45" customWidth="1"/>
    <col min="4" max="4" width="16.21875" style="45" customWidth="1"/>
    <col min="5" max="5" width="29.109375" style="6" customWidth="1"/>
    <col min="6" max="6" width="28.5546875" style="6" customWidth="1"/>
    <col min="7" max="7" width="9.109375" style="1" customWidth="1"/>
    <col min="8" max="21" width="10.6640625" style="6"/>
    <col min="22" max="22" width="13" style="6" customWidth="1"/>
    <col min="23" max="23" width="18.44140625" style="6" customWidth="1"/>
    <col min="24" max="16384" width="10.6640625" style="6"/>
  </cols>
  <sheetData>
    <row r="1" spans="1:26" x14ac:dyDescent="0.3">
      <c r="A1" s="85" t="s">
        <v>107</v>
      </c>
      <c r="B1" s="85"/>
      <c r="C1" s="85"/>
      <c r="D1" s="85"/>
      <c r="E1" s="85"/>
      <c r="F1" s="85"/>
      <c r="H1" s="10" t="s">
        <v>103</v>
      </c>
      <c r="I1" s="5"/>
      <c r="J1" s="5"/>
      <c r="K1" s="5"/>
      <c r="N1" s="45"/>
      <c r="O1" s="45"/>
      <c r="P1" s="45"/>
      <c r="Q1" s="45"/>
    </row>
    <row r="2" spans="1:26" x14ac:dyDescent="0.3">
      <c r="A2" s="2" t="s">
        <v>33</v>
      </c>
      <c r="B2" s="2" t="s">
        <v>22</v>
      </c>
      <c r="C2" s="2" t="s">
        <v>6</v>
      </c>
      <c r="D2" s="2" t="s">
        <v>31</v>
      </c>
      <c r="E2" s="2" t="s">
        <v>10</v>
      </c>
      <c r="F2" s="2" t="s">
        <v>140</v>
      </c>
      <c r="H2" s="111"/>
      <c r="I2" s="112"/>
      <c r="J2" s="112"/>
      <c r="K2" s="113"/>
      <c r="M2" s="114"/>
      <c r="N2" s="114"/>
      <c r="O2" s="114"/>
      <c r="P2" s="114"/>
      <c r="R2" s="114"/>
      <c r="S2" s="114"/>
      <c r="T2" s="114"/>
      <c r="U2" s="114"/>
      <c r="W2" s="114"/>
      <c r="X2" s="114"/>
      <c r="Y2" s="114"/>
      <c r="Z2" s="114"/>
    </row>
    <row r="3" spans="1:26" x14ac:dyDescent="0.3">
      <c r="A3" s="14" t="s">
        <v>155</v>
      </c>
      <c r="B3" s="18">
        <v>0</v>
      </c>
      <c r="C3" s="18">
        <v>0</v>
      </c>
      <c r="D3" s="18">
        <v>0</v>
      </c>
      <c r="E3" s="18">
        <v>0</v>
      </c>
      <c r="F3" s="18">
        <v>0</v>
      </c>
      <c r="H3" s="19" t="s">
        <v>12</v>
      </c>
      <c r="I3" s="9"/>
      <c r="J3" s="9" t="s">
        <v>13</v>
      </c>
      <c r="K3" s="20"/>
      <c r="M3" s="1"/>
      <c r="N3" s="1"/>
      <c r="O3" s="1"/>
      <c r="P3" s="1"/>
      <c r="R3" s="1"/>
      <c r="S3" s="1"/>
      <c r="T3" s="1"/>
      <c r="U3" s="1"/>
      <c r="W3" s="1"/>
      <c r="X3" s="70"/>
      <c r="Y3" s="1"/>
      <c r="Z3" s="1"/>
    </row>
    <row r="4" spans="1:26" x14ac:dyDescent="0.3">
      <c r="A4" s="14"/>
      <c r="B4" s="18"/>
      <c r="C4" s="18"/>
      <c r="D4" s="18"/>
      <c r="E4" s="18"/>
      <c r="F4" s="18"/>
      <c r="H4" s="19"/>
      <c r="I4" s="22"/>
      <c r="J4" s="9"/>
      <c r="K4" s="20"/>
      <c r="M4" s="1"/>
      <c r="N4" s="71"/>
      <c r="O4" s="1"/>
      <c r="P4" s="1"/>
      <c r="R4" s="1"/>
      <c r="S4" s="71"/>
      <c r="T4" s="1"/>
      <c r="U4" s="1"/>
      <c r="W4" s="1"/>
      <c r="Z4" s="1"/>
    </row>
    <row r="5" spans="1:26" ht="57.6" x14ac:dyDescent="0.3">
      <c r="A5" s="14"/>
      <c r="B5" s="18"/>
      <c r="C5" s="18"/>
      <c r="D5" s="18"/>
      <c r="E5" s="18"/>
      <c r="F5" s="18"/>
      <c r="H5" s="23" t="s">
        <v>17</v>
      </c>
      <c r="I5" s="24" t="s">
        <v>18</v>
      </c>
      <c r="J5" s="24" t="s">
        <v>15</v>
      </c>
      <c r="K5" s="25" t="s">
        <v>16</v>
      </c>
      <c r="M5" s="35"/>
      <c r="N5" s="35"/>
      <c r="O5" s="35"/>
      <c r="P5" s="35"/>
      <c r="R5" s="35"/>
      <c r="S5" s="35"/>
      <c r="T5" s="35"/>
      <c r="U5" s="35"/>
      <c r="W5" s="35"/>
      <c r="X5" s="35"/>
      <c r="Y5" s="35"/>
      <c r="Z5" s="35"/>
    </row>
    <row r="6" spans="1:26" x14ac:dyDescent="0.3">
      <c r="A6" s="14"/>
      <c r="B6" s="18"/>
      <c r="C6" s="18"/>
      <c r="D6" s="18"/>
      <c r="E6" s="18"/>
      <c r="F6" s="18"/>
      <c r="H6" s="19"/>
      <c r="I6" s="19"/>
      <c r="J6" s="26" t="e">
        <f>K6/$I$3</f>
        <v>#DIV/0!</v>
      </c>
      <c r="K6" s="20"/>
      <c r="M6" s="1"/>
      <c r="N6" s="1"/>
      <c r="O6" s="31"/>
      <c r="P6" s="30"/>
      <c r="R6" s="1"/>
      <c r="S6" s="1"/>
      <c r="T6" s="31"/>
      <c r="U6" s="30"/>
      <c r="W6" s="1"/>
      <c r="X6" s="1"/>
      <c r="Y6" s="31"/>
      <c r="Z6" s="30"/>
    </row>
    <row r="7" spans="1:26" x14ac:dyDescent="0.3">
      <c r="A7" s="28"/>
      <c r="B7" s="28"/>
      <c r="C7" s="28"/>
      <c r="D7" s="28"/>
      <c r="E7" s="14"/>
      <c r="F7" s="14"/>
      <c r="H7" s="19"/>
      <c r="I7" s="19"/>
      <c r="J7" s="26" t="e">
        <f t="shared" ref="J7:J18" si="0">K7/$I$3</f>
        <v>#DIV/0!</v>
      </c>
      <c r="K7" s="20"/>
      <c r="M7" s="1"/>
      <c r="N7" s="1"/>
      <c r="O7" s="31"/>
      <c r="P7" s="30"/>
      <c r="R7" s="1"/>
      <c r="S7" s="1"/>
      <c r="T7" s="31"/>
      <c r="U7" s="30"/>
      <c r="W7" s="1"/>
      <c r="X7" s="1"/>
      <c r="Y7" s="31"/>
      <c r="Z7" s="30"/>
    </row>
    <row r="8" spans="1:26" x14ac:dyDescent="0.3">
      <c r="A8" s="14"/>
      <c r="B8" s="14"/>
      <c r="C8" s="14"/>
      <c r="D8" s="14"/>
      <c r="E8" s="14"/>
      <c r="F8" s="14"/>
      <c r="H8" s="19"/>
      <c r="I8" s="19"/>
      <c r="J8" s="26" t="e">
        <f t="shared" si="0"/>
        <v>#DIV/0!</v>
      </c>
      <c r="K8" s="20"/>
      <c r="M8" s="1"/>
      <c r="N8" s="1"/>
      <c r="O8" s="31"/>
      <c r="P8" s="30"/>
      <c r="R8" s="1"/>
      <c r="S8" s="1"/>
      <c r="T8" s="31"/>
      <c r="U8" s="30"/>
      <c r="W8" s="1"/>
      <c r="X8" s="1"/>
      <c r="Y8" s="31"/>
      <c r="Z8" s="30"/>
    </row>
    <row r="9" spans="1:26" x14ac:dyDescent="0.3">
      <c r="A9" s="14"/>
      <c r="B9" s="14"/>
      <c r="C9" s="14"/>
      <c r="D9" s="14"/>
      <c r="E9" s="14"/>
      <c r="F9" s="14"/>
      <c r="H9" s="19"/>
      <c r="I9" s="19"/>
      <c r="J9" s="26" t="e">
        <f t="shared" si="0"/>
        <v>#DIV/0!</v>
      </c>
      <c r="K9" s="20"/>
      <c r="M9" s="1"/>
      <c r="N9" s="1"/>
      <c r="O9" s="31"/>
      <c r="P9" s="30"/>
      <c r="R9" s="1"/>
      <c r="S9" s="1"/>
      <c r="T9" s="31"/>
      <c r="U9" s="30"/>
      <c r="W9" s="1"/>
      <c r="X9" s="1"/>
      <c r="Y9" s="31"/>
      <c r="Z9" s="30"/>
    </row>
    <row r="10" spans="1:26" x14ac:dyDescent="0.3">
      <c r="A10" s="28"/>
      <c r="B10" s="28"/>
      <c r="C10" s="28"/>
      <c r="D10" s="28"/>
      <c r="E10" s="14"/>
      <c r="F10" s="14"/>
      <c r="H10" s="19"/>
      <c r="I10" s="19"/>
      <c r="J10" s="26" t="e">
        <f t="shared" si="0"/>
        <v>#DIV/0!</v>
      </c>
      <c r="K10" s="20"/>
      <c r="M10" s="1"/>
      <c r="N10" s="1"/>
      <c r="O10" s="31"/>
      <c r="P10" s="30"/>
      <c r="R10" s="1"/>
      <c r="S10" s="1"/>
      <c r="T10" s="31"/>
      <c r="U10" s="30"/>
      <c r="W10" s="1"/>
      <c r="X10" s="1"/>
      <c r="Y10" s="31"/>
      <c r="Z10" s="30"/>
    </row>
    <row r="11" spans="1:26" x14ac:dyDescent="0.3">
      <c r="A11" s="28"/>
      <c r="B11" s="28"/>
      <c r="C11" s="28"/>
      <c r="D11" s="28"/>
      <c r="E11" s="14"/>
      <c r="F11" s="14"/>
      <c r="H11" s="19"/>
      <c r="I11" s="19"/>
      <c r="J11" s="26" t="e">
        <f t="shared" si="0"/>
        <v>#DIV/0!</v>
      </c>
      <c r="K11" s="20"/>
      <c r="M11" s="1"/>
      <c r="N11" s="1"/>
      <c r="O11" s="31"/>
      <c r="P11" s="30"/>
      <c r="R11" s="1"/>
      <c r="S11" s="1"/>
      <c r="T11" s="31"/>
      <c r="U11" s="30"/>
      <c r="W11" s="1"/>
      <c r="X11" s="1"/>
      <c r="Y11" s="31"/>
      <c r="Z11" s="30"/>
    </row>
    <row r="12" spans="1:26" x14ac:dyDescent="0.3">
      <c r="A12" s="28"/>
      <c r="B12" s="28"/>
      <c r="C12" s="28"/>
      <c r="D12" s="28"/>
      <c r="E12" s="14"/>
      <c r="F12" s="14"/>
      <c r="H12" s="19"/>
      <c r="I12" s="19"/>
      <c r="J12" s="26" t="e">
        <f t="shared" si="0"/>
        <v>#DIV/0!</v>
      </c>
      <c r="K12" s="20"/>
      <c r="M12" s="1"/>
      <c r="N12" s="1"/>
      <c r="O12" s="31"/>
      <c r="P12" s="30"/>
      <c r="R12" s="1"/>
      <c r="S12" s="1"/>
      <c r="T12" s="31"/>
      <c r="U12" s="30"/>
      <c r="W12" s="1"/>
      <c r="X12" s="1"/>
      <c r="Y12" s="31"/>
      <c r="Z12" s="30"/>
    </row>
    <row r="13" spans="1:26" x14ac:dyDescent="0.3">
      <c r="A13" s="28"/>
      <c r="B13" s="28"/>
      <c r="C13" s="28"/>
      <c r="D13" s="28"/>
      <c r="E13" s="14"/>
      <c r="F13" s="14"/>
      <c r="H13" s="19"/>
      <c r="I13" s="19"/>
      <c r="J13" s="26" t="e">
        <f t="shared" si="0"/>
        <v>#DIV/0!</v>
      </c>
      <c r="K13" s="20"/>
      <c r="M13" s="1"/>
      <c r="N13" s="1"/>
      <c r="O13" s="31"/>
      <c r="P13" s="30"/>
      <c r="R13" s="1"/>
      <c r="S13" s="1"/>
      <c r="T13" s="31"/>
      <c r="U13" s="30"/>
      <c r="W13" s="1"/>
      <c r="X13" s="1"/>
      <c r="Y13" s="31"/>
      <c r="Z13" s="30"/>
    </row>
    <row r="14" spans="1:26" x14ac:dyDescent="0.3">
      <c r="A14" s="28"/>
      <c r="B14" s="28"/>
      <c r="C14" s="28"/>
      <c r="D14" s="28"/>
      <c r="E14" s="14"/>
      <c r="F14" s="14"/>
      <c r="H14" s="19"/>
      <c r="I14" s="19"/>
      <c r="J14" s="26" t="e">
        <f t="shared" si="0"/>
        <v>#DIV/0!</v>
      </c>
      <c r="K14" s="20"/>
      <c r="M14" s="1"/>
      <c r="N14" s="1"/>
      <c r="O14" s="31"/>
      <c r="P14" s="30"/>
      <c r="R14" s="1"/>
      <c r="S14" s="1"/>
      <c r="T14" s="31"/>
      <c r="U14" s="30"/>
      <c r="W14" s="1"/>
      <c r="X14" s="1"/>
      <c r="Y14" s="31"/>
      <c r="Z14" s="30"/>
    </row>
    <row r="15" spans="1:26" x14ac:dyDescent="0.3">
      <c r="A15" s="28"/>
      <c r="B15" s="28"/>
      <c r="C15" s="28"/>
      <c r="D15" s="28"/>
      <c r="E15" s="14"/>
      <c r="F15" s="14"/>
      <c r="H15" s="19"/>
      <c r="I15" s="19"/>
      <c r="J15" s="26" t="e">
        <f t="shared" si="0"/>
        <v>#DIV/0!</v>
      </c>
      <c r="K15" s="20"/>
      <c r="M15" s="1"/>
      <c r="N15" s="1"/>
      <c r="O15" s="31"/>
      <c r="P15" s="30"/>
      <c r="R15" s="1"/>
      <c r="S15" s="1"/>
      <c r="T15" s="31"/>
      <c r="U15" s="30"/>
      <c r="W15" s="1"/>
      <c r="X15" s="1"/>
      <c r="Y15" s="31"/>
      <c r="Z15" s="30"/>
    </row>
    <row r="16" spans="1:26" x14ac:dyDescent="0.3">
      <c r="A16" s="28"/>
      <c r="B16" s="28"/>
      <c r="C16" s="28"/>
      <c r="D16" s="28"/>
      <c r="E16" s="14"/>
      <c r="F16" s="14"/>
      <c r="H16" s="19"/>
      <c r="I16" s="19"/>
      <c r="J16" s="26" t="e">
        <f t="shared" si="0"/>
        <v>#DIV/0!</v>
      </c>
      <c r="K16" s="20"/>
      <c r="M16" s="1"/>
      <c r="N16" s="1"/>
      <c r="O16" s="31"/>
      <c r="P16" s="30"/>
      <c r="R16" s="1"/>
      <c r="S16" s="1"/>
      <c r="T16" s="31"/>
      <c r="U16" s="30"/>
      <c r="W16" s="1"/>
      <c r="X16" s="1"/>
      <c r="Y16" s="31"/>
      <c r="Z16" s="30"/>
    </row>
    <row r="17" spans="1:26" x14ac:dyDescent="0.3">
      <c r="A17" s="28"/>
      <c r="B17" s="28"/>
      <c r="C17" s="28"/>
      <c r="D17" s="28"/>
      <c r="E17" s="14"/>
      <c r="F17" s="14"/>
      <c r="H17" s="32" t="s">
        <v>10</v>
      </c>
      <c r="I17" s="19"/>
      <c r="J17" s="26" t="e">
        <f t="shared" si="0"/>
        <v>#DIV/0!</v>
      </c>
      <c r="K17" s="33"/>
      <c r="M17" s="1"/>
      <c r="N17" s="1"/>
      <c r="O17" s="31"/>
      <c r="P17" s="1"/>
      <c r="R17" s="1"/>
      <c r="S17" s="1"/>
      <c r="T17" s="31"/>
      <c r="U17" s="1"/>
      <c r="W17" s="1"/>
      <c r="X17" s="1"/>
      <c r="Y17" s="31"/>
      <c r="Z17" s="1"/>
    </row>
    <row r="18" spans="1:26" x14ac:dyDescent="0.3">
      <c r="A18" s="28"/>
      <c r="B18" s="28"/>
      <c r="C18" s="28"/>
      <c r="D18" s="28"/>
      <c r="E18" s="14"/>
      <c r="F18" s="14"/>
      <c r="H18" s="19"/>
      <c r="I18" s="9" t="s">
        <v>32</v>
      </c>
      <c r="J18" s="26" t="e">
        <f t="shared" si="0"/>
        <v>#DIV/0!</v>
      </c>
      <c r="K18" s="34">
        <f>SUM(K6:K17)</f>
        <v>0</v>
      </c>
      <c r="M18" s="1"/>
      <c r="N18" s="1"/>
      <c r="O18" s="1"/>
      <c r="P18" s="1"/>
      <c r="R18" s="1"/>
      <c r="S18" s="1"/>
      <c r="T18" s="1"/>
      <c r="U18" s="1"/>
      <c r="W18" s="1"/>
      <c r="X18" s="1"/>
      <c r="Y18" s="1"/>
      <c r="Z18" s="1"/>
    </row>
    <row r="19" spans="1:26" x14ac:dyDescent="0.3">
      <c r="A19" s="28"/>
      <c r="B19" s="28"/>
      <c r="C19" s="28"/>
      <c r="D19" s="28"/>
      <c r="E19" s="14"/>
      <c r="F19" s="14"/>
      <c r="H19" s="19"/>
      <c r="I19" s="9"/>
      <c r="J19" s="9"/>
      <c r="K19" s="20"/>
      <c r="N19" s="35"/>
      <c r="O19" s="35"/>
      <c r="P19" s="35"/>
      <c r="S19" s="35"/>
      <c r="T19" s="35"/>
      <c r="U19" s="35"/>
      <c r="X19" s="35"/>
      <c r="Y19" s="35"/>
      <c r="Z19" s="35"/>
    </row>
    <row r="20" spans="1:26" ht="57.6" x14ac:dyDescent="0.3">
      <c r="A20" s="28"/>
      <c r="B20" s="28"/>
      <c r="C20" s="28"/>
      <c r="D20" s="28"/>
      <c r="E20" s="14"/>
      <c r="F20" s="14"/>
      <c r="H20" s="36"/>
      <c r="I20" s="37" t="s">
        <v>18</v>
      </c>
      <c r="J20" s="38" t="s">
        <v>15</v>
      </c>
      <c r="K20" s="39" t="s">
        <v>38</v>
      </c>
      <c r="M20" s="1"/>
      <c r="N20" s="1"/>
      <c r="O20" s="40"/>
      <c r="P20" s="30"/>
      <c r="R20" s="1"/>
      <c r="S20" s="1"/>
      <c r="T20" s="40"/>
      <c r="U20" s="30"/>
      <c r="W20" s="1"/>
      <c r="X20" s="1"/>
      <c r="Y20" s="40"/>
      <c r="Z20" s="30"/>
    </row>
    <row r="21" spans="1:26" x14ac:dyDescent="0.3">
      <c r="A21" s="28"/>
      <c r="B21" s="28"/>
      <c r="C21" s="28"/>
      <c r="D21" s="28"/>
      <c r="E21" s="14"/>
      <c r="F21" s="14"/>
      <c r="H21" s="19"/>
      <c r="I21" s="19" t="s">
        <v>22</v>
      </c>
      <c r="J21" s="41">
        <f>SUMIF(I$6:I$17, I21, J$6:J$17)</f>
        <v>0</v>
      </c>
      <c r="K21" s="34">
        <f>J21*$I$3</f>
        <v>0</v>
      </c>
      <c r="M21" s="1"/>
      <c r="N21" s="1"/>
      <c r="O21" s="40"/>
      <c r="P21" s="30"/>
      <c r="R21" s="1"/>
      <c r="S21" s="1"/>
      <c r="T21" s="40"/>
      <c r="U21" s="30"/>
      <c r="W21" s="1"/>
      <c r="X21" s="1"/>
      <c r="Y21" s="40"/>
      <c r="Z21" s="30"/>
    </row>
    <row r="22" spans="1:26" x14ac:dyDescent="0.3">
      <c r="A22" s="28"/>
      <c r="B22" s="28"/>
      <c r="C22" s="28"/>
      <c r="D22" s="28"/>
      <c r="E22" s="14"/>
      <c r="F22" s="14"/>
      <c r="H22" s="19"/>
      <c r="I22" s="19" t="s">
        <v>6</v>
      </c>
      <c r="J22" s="41">
        <f t="shared" ref="J22:J24" si="1">SUMIF(I$6:I$17, I22, J$6:J$17)</f>
        <v>0</v>
      </c>
      <c r="K22" s="34">
        <f t="shared" ref="K22:K23" si="2">J22*$I$3</f>
        <v>0</v>
      </c>
      <c r="M22" s="1"/>
      <c r="N22" s="1"/>
      <c r="O22" s="40"/>
      <c r="P22" s="30"/>
      <c r="R22" s="1"/>
      <c r="S22" s="1"/>
      <c r="T22" s="40"/>
      <c r="U22" s="30"/>
      <c r="W22" s="1"/>
      <c r="X22" s="1"/>
      <c r="Y22" s="40"/>
      <c r="Z22" s="30"/>
    </row>
    <row r="23" spans="1:26" x14ac:dyDescent="0.3">
      <c r="A23" s="28"/>
      <c r="B23" s="28"/>
      <c r="C23" s="28"/>
      <c r="D23" s="28"/>
      <c r="E23" s="14"/>
      <c r="F23" s="14"/>
      <c r="H23" s="19"/>
      <c r="I23" s="19" t="s">
        <v>31</v>
      </c>
      <c r="J23" s="41">
        <f t="shared" si="1"/>
        <v>0</v>
      </c>
      <c r="K23" s="34">
        <f t="shared" si="2"/>
        <v>0</v>
      </c>
      <c r="M23" s="1"/>
      <c r="N23" s="1"/>
      <c r="O23" s="40"/>
      <c r="P23" s="30"/>
      <c r="R23" s="1"/>
      <c r="S23" s="1"/>
      <c r="T23" s="40"/>
      <c r="U23" s="30"/>
      <c r="W23" s="1"/>
      <c r="X23" s="1"/>
      <c r="Y23" s="40"/>
      <c r="Z23" s="30"/>
    </row>
    <row r="24" spans="1:26" ht="15" customHeight="1" x14ac:dyDescent="0.3">
      <c r="A24" s="28"/>
      <c r="B24" s="28"/>
      <c r="C24" s="28"/>
      <c r="D24" s="28"/>
      <c r="E24" s="14"/>
      <c r="F24" s="14"/>
      <c r="H24" s="19"/>
      <c r="I24" s="19" t="s">
        <v>10</v>
      </c>
      <c r="J24" s="41">
        <f t="shared" si="1"/>
        <v>0</v>
      </c>
      <c r="K24" s="34">
        <f>J24*$I$3</f>
        <v>0</v>
      </c>
      <c r="M24" s="1"/>
      <c r="N24" s="1"/>
      <c r="O24" s="40"/>
      <c r="P24" s="30"/>
      <c r="R24" s="1"/>
      <c r="S24" s="1"/>
      <c r="T24" s="40"/>
      <c r="U24" s="30"/>
      <c r="W24" s="1"/>
      <c r="X24" s="1"/>
      <c r="Y24" s="40"/>
      <c r="Z24" s="30"/>
    </row>
    <row r="25" spans="1:26" ht="15" customHeight="1" x14ac:dyDescent="0.3">
      <c r="A25" s="28"/>
      <c r="B25" s="28"/>
      <c r="C25" s="28"/>
      <c r="D25" s="28"/>
      <c r="E25" s="14"/>
      <c r="F25" s="14"/>
      <c r="H25" s="42"/>
      <c r="I25" s="42" t="s">
        <v>32</v>
      </c>
      <c r="J25" s="43">
        <f>SUM(J21:J24)</f>
        <v>0</v>
      </c>
      <c r="K25" s="44">
        <f>SUM(K21:K24)</f>
        <v>0</v>
      </c>
    </row>
    <row r="26" spans="1:26" ht="15" customHeight="1" x14ac:dyDescent="0.3"/>
    <row r="27" spans="1:26" x14ac:dyDescent="0.3">
      <c r="H27" s="89" t="s">
        <v>139</v>
      </c>
      <c r="I27" s="89"/>
      <c r="J27" s="89"/>
      <c r="K27" s="89"/>
      <c r="L27" s="89"/>
      <c r="M27" s="89"/>
      <c r="N27" s="89"/>
      <c r="O27" s="89"/>
      <c r="P27" s="89"/>
      <c r="Q27" s="89"/>
      <c r="R27" s="89"/>
      <c r="S27" s="89"/>
      <c r="T27" s="89"/>
      <c r="U27" s="89"/>
      <c r="V27" s="115" t="s">
        <v>138</v>
      </c>
      <c r="W27" s="115"/>
      <c r="X27" s="35"/>
      <c r="Y27" s="35"/>
      <c r="Z27" s="35"/>
    </row>
    <row r="28" spans="1:26" ht="28.8" x14ac:dyDescent="0.3">
      <c r="H28" s="3" t="str">
        <f>IF(ISBLANK('[1]Lithium Qualified Studies'!A1),"",'[1]Lithium Qualified Studies'!A1)</f>
        <v>Source</v>
      </c>
      <c r="I28" s="3" t="str">
        <f>IF(ISBLANK('[1]Lithium Qualified Studies'!B1),"",'[1]Lithium Qualified Studies'!B1)</f>
        <v>Title</v>
      </c>
      <c r="J28" s="3" t="str">
        <f>IF(ISBLANK('[1]Lithium Qualified Studies'!C1),"",'[1]Lithium Qualified Studies'!C1)</f>
        <v>Link</v>
      </c>
      <c r="K28" s="3" t="str">
        <f>IF(ISBLANK('[1]Lithium Qualified Studies'!D1),"",'[1]Lithium Qualified Studies'!D1)</f>
        <v>Source type</v>
      </c>
      <c r="L28" s="3" t="str">
        <f>IF(ISBLANK('[1]Lithium Qualified Studies'!E1),"",'[1]Lithium Qualified Studies'!E1)</f>
        <v>Total emissions [kgCO2eq/kg]</v>
      </c>
      <c r="M28" s="3" t="str">
        <f>IF(ISBLANK('[1]Lithium Qualified Studies'!F1),"",'[1]Lithium Qualified Studies'!F1)</f>
        <v>Harmonised emissions [kg CO2eq/kg]</v>
      </c>
      <c r="N28" s="3" t="str">
        <f>IF(ISBLANK('[1]Lithium Qualified Studies'!G1),"",'[1]Lithium Qualified Studies'!G1)</f>
        <v>Primary data?</v>
      </c>
      <c r="O28" s="3" t="str">
        <f>IF(ISBLANK('[1]Lithium Qualified Studies'!H1),"",'[1]Lithium Qualified Studies'!H1)</f>
        <v>Functional unit?</v>
      </c>
      <c r="P28" s="3" t="str">
        <f>IF(ISBLANK('[1]Lithium Qualified Studies'!I1),"",'[1]Lithium Qualified Studies'!I1)</f>
        <v>System boundaries</v>
      </c>
      <c r="Q28" s="3" t="str">
        <f>IF(ISBLANK('[1]Lithium Qualified Studies'!J1),"",'[1]Lithium Qualified Studies'!J1)</f>
        <v>Methodological transparency</v>
      </c>
      <c r="R28" s="3" t="str">
        <f>IF(ISBLANK('[1]Lithium Qualified Studies'!K1),"",'[1]Lithium Qualified Studies'!K1)</f>
        <v>Process / ore type?</v>
      </c>
      <c r="S28" s="3" t="str">
        <f>IF(ISBLANK('[1]Lithium Qualified Studies'!L1),"",'[1]Lithium Qualified Studies'!L1)</f>
        <v>Found via</v>
      </c>
      <c r="T28" s="3" t="str">
        <f>IF(ISBLANK('[1]Lithium Qualified Studies'!M1),"",'[1]Lithium Qualified Studies'!M1)</f>
        <v>Location of production</v>
      </c>
      <c r="U28" s="3" t="str">
        <f>IF(ISBLANK('[1]Lithium Qualified Studies'!N1),"",'[1]Lithium Qualified Studies'!N1)</f>
        <v>Mine</v>
      </c>
      <c r="V28" s="4" t="s">
        <v>110</v>
      </c>
      <c r="W28" s="5" t="s">
        <v>143</v>
      </c>
    </row>
    <row r="29" spans="1:26" ht="19.5" customHeight="1" x14ac:dyDescent="0.3">
      <c r="G29" s="1" t="str">
        <f>IF(H29="Schenker et al. (2022)","","ERROR - check row order of Notion export")</f>
        <v/>
      </c>
      <c r="H29" s="3" t="str">
        <f>IF(ISBLANK('[1]Lithium Qualified Studies'!A2),"",'[1]Lithium Qualified Studies'!A2)</f>
        <v>Schenker et al. (2022)</v>
      </c>
      <c r="I29" s="3" t="str">
        <f>IF(ISBLANK('[1]Lithium Qualified Studies'!B2),"",'[1]Lithium Qualified Studies'!B2)</f>
        <v>Regionalized life cycle assessment of present and future lithium production for Li-ion batteries</v>
      </c>
      <c r="J29" s="3" t="str">
        <f>IF(ISBLANK('[1]Lithium Qualified Studies'!C2),"",'[1]Lithium Qualified Studies'!C2)</f>
        <v>https://doi.org/10.1016/j.resconrec.2022.106611</v>
      </c>
      <c r="K29" s="3" t="str">
        <f>IF(ISBLANK('[1]Lithium Qualified Studies'!D2),"",'[1]Lithium Qualified Studies'!D2)</f>
        <v>Literature</v>
      </c>
      <c r="L29" s="3" t="str">
        <f>IF(ISBLANK('[1]Lithium Qualified Studies'!E2),"",'[1]Lithium Qualified Studies'!E2)</f>
        <v>Salar de Atacama: 3.4 kg CO2eq/kg Li2CO3
Salar de Olaroz: 7.4 kg CO2eq/kg Li2CO3
Chaerhan salt lake: 31.6 kg CO2eq/kg Li2CO3
Salar de Cauchari-Olaroz: 7.7 kg CO2eq/kg Li2CO3 
Salar del Hombre Muerto (North): 8 kg CO2eq/kg Li2CO3</v>
      </c>
      <c r="M29" s="3" t="str">
        <f>IF(ISBLANK('[1]Lithium Qualified Studies'!F2),"",'[1]Lithium Qualified Studies'!F2)</f>
        <v>Salar de Atacama: 3.4 kg CO2eq/kg Li2CO3
Salar de Olaroz: 7.4 kg CO2eq/kg Li2CO3
Chaerhan salt lake: 31.6 kg CO2eq/kg Li2CO3</v>
      </c>
      <c r="N29" s="3" t="str">
        <f>IF(ISBLANK('[1]Lithium Qualified Studies'!G2),"",'[1]Lithium Qualified Studies'!G2)</f>
        <v>No → calculate in- and outputs needed for the production processes from the chemical composition of the brine and the stochiometry and thermodynamics of these processes based on literature review</v>
      </c>
      <c r="O29" s="3" t="str">
        <f>IF(ISBLANK('[1]Lithium Qualified Studies'!H2),"",'[1]Lithium Qualified Studies'!H2)</f>
        <v>1 kg Li2CO3 (battery grade)</v>
      </c>
      <c r="P29" s="3" t="str">
        <f>IF(ISBLANK('[1]Lithium Qualified Studies'!I2),"",'[1]Lithium Qualified Studies'!I2)</f>
        <v xml:space="preserve">cradle-to-gate approach
</v>
      </c>
      <c r="Q29" s="3" t="str">
        <f>IF(ISBLANK('[1]Lithium Qualified Studies'!J2),"",'[1]Lithium Qualified Studies'!J2)</f>
        <v>++ transparent</v>
      </c>
      <c r="R29" s="3" t="str">
        <f>IF(ISBLANK('[1]Lithium Qualified Studies'!K2),"",'[1]Lithium Qualified Studies'!K2)</f>
        <v>Brine, Li2CO3</v>
      </c>
      <c r="S29" s="3" t="str">
        <f>IF(ISBLANK('[1]Lithium Qualified Studies'!L2),"",'[1]Lithium Qualified Studies'!L2)</f>
        <v>Vanessa, systematic lit rev</v>
      </c>
      <c r="T29" s="3" t="str">
        <f>IF(ISBLANK('[1]Lithium Qualified Studies'!M2),"",'[1]Lithium Qualified Studies'!M2)</f>
        <v>Argentina, Chile, China</v>
      </c>
      <c r="U29" s="3" t="str">
        <f>IF(ISBLANK('[1]Lithium Qualified Studies'!N2),"",'[1]Lithium Qualified Studies'!N2)</f>
        <v>Chaerhan Lake, Salar de Atacama, Salar de Cauchari-Olaroz, Salar de Olaroz, Salar del Hombre Muerto</v>
      </c>
      <c r="V29" s="8" t="b">
        <v>0</v>
      </c>
      <c r="W29" s="110" t="s">
        <v>141</v>
      </c>
    </row>
    <row r="30" spans="1:26" ht="19.05" customHeight="1" x14ac:dyDescent="0.3">
      <c r="G30" s="1" t="str">
        <f>IF(H30="Ambrose and Kendall (2019)","","ERROR - check row order of Notion export")</f>
        <v/>
      </c>
      <c r="H30" s="3" t="str">
        <f>IF(ISBLANK('[1]Lithium Qualified Studies'!A3),"",'[1]Lithium Qualified Studies'!A3)</f>
        <v>Ambrose and Kendall (2019)</v>
      </c>
      <c r="I30" s="3" t="str">
        <f>IF(ISBLANK('[1]Lithium Qualified Studies'!B3),"",'[1]Lithium Qualified Studies'!B3)</f>
        <v>Understanding the future of lithium: Part 2, temporally and spatially resolved life-cycle assessment modeling</v>
      </c>
      <c r="J30" s="3" t="str">
        <f>IF(ISBLANK('[1]Lithium Qualified Studies'!C3),"",'[1]Lithium Qualified Studies'!C3)</f>
        <v>https://doi.org/10.1111/jiec.12942</v>
      </c>
      <c r="K30" s="3" t="str">
        <f>IF(ISBLANK('[1]Lithium Qualified Studies'!D3),"",'[1]Lithium Qualified Studies'!D3)</f>
        <v>Literature</v>
      </c>
      <c r="L30" s="3" t="str">
        <f>IF(ISBLANK('[1]Lithium Qualified Studies'!E3),"",'[1]Lithium Qualified Studies'!E3)</f>
        <v>High-grade Pegmatite: 2,282262864 kg CO2eq
Low-grade Pegmatite: 2,67
Low-grade Rock Minerals: 3,32 kg CO2eq
High-grade Brine: 3,06 kg CO2eq
Low-grade Brine: 3,97 kg CO2eq
Low-grade Brine/Unfavorable Conditions: 5,28 kg CO2eq</v>
      </c>
      <c r="M30" s="3" t="str">
        <f>IF(ISBLANK('[1]Lithium Qualified Studies'!F3),"",'[1]Lithium Qualified Studies'!F3)</f>
        <v>High-grade Pegmatite: 2,282262864 kg CO2eq/kg Li2CO3eq
Low-grade Pegmatite: 2,67 kg CO2eq/kg Li2CO3
Low-grade Rock Minerals: 3,32 kg CO2eq/kg Li2CO3
High-grade Brine: 3,06 kg CO2eq/kg Li2CO3
Low-grade Brine: 3,97 kg CO2eq/kg Li2CO3
Low-grade Brine/Unfavorable Conditions: 5,28 kg CO2eq/kg Li2CO3</v>
      </c>
      <c r="N30" s="3" t="str">
        <f>IF(ISBLANK('[1]Lithium Qualified Studies'!G3),"",'[1]Lithium Qualified Studies'!G3)</f>
        <v>No → “Throughput, efficiency, and material and energy inputs are estimated based on company reporting, patents, and prior studies”</v>
      </c>
      <c r="O30" s="3" t="str">
        <f>IF(ISBLANK('[1]Lithium Qualified Studies'!H3),"",'[1]Lithium Qualified Studies'!H3)</f>
        <v>1 kg of battery grade lithium carbonate equivalent (≥99% Li2CO3 by content)</v>
      </c>
      <c r="P30" s="3" t="str">
        <f>IF(ISBLANK('[1]Lithium Qualified Studies'!I3),"",'[1]Lithium Qualified Studies'!I3)</f>
        <v>from mine to processor or refining gate
→ Screenshot</v>
      </c>
      <c r="Q30" s="3" t="str">
        <f>IF(ISBLANK('[1]Lithium Qualified Studies'!J3),"",'[1]Lithium Qualified Studies'!J3)</f>
        <v>- intransparent</v>
      </c>
      <c r="R30" s="3" t="str">
        <f>IF(ISBLANK('[1]Lithium Qualified Studies'!K3),"",'[1]Lithium Qualified Studies'!K3)</f>
        <v>Brine, Li2CO3, Minerals</v>
      </c>
      <c r="S30" s="3" t="str">
        <f>IF(ISBLANK('[1]Lithium Qualified Studies'!L3),"",'[1]Lithium Qualified Studies'!L3)</f>
        <v>Vanessa, systematic lit rev</v>
      </c>
      <c r="T30" s="3" t="str">
        <f>IF(ISBLANK('[1]Lithium Qualified Studies'!M3),"",'[1]Lithium Qualified Studies'!M3)</f>
        <v>Global</v>
      </c>
      <c r="U30" s="3" t="str">
        <f>IF(ISBLANK('[1]Lithium Qualified Studies'!N3),"",'[1]Lithium Qualified Studies'!N3)</f>
        <v/>
      </c>
      <c r="V30" s="8" t="b">
        <v>0</v>
      </c>
      <c r="W30" s="110"/>
    </row>
    <row r="31" spans="1:26" ht="19.95" customHeight="1" x14ac:dyDescent="0.3">
      <c r="G31" s="1" t="str">
        <f>IF(H31="Kelly et al. (2021)","","ERROR - check row order of Notion export")</f>
        <v/>
      </c>
      <c r="H31" s="3" t="str">
        <f>IF(ISBLANK('[1]Lithium Qualified Studies'!A4),"",'[1]Lithium Qualified Studies'!A4)</f>
        <v>Kelly et al. (2021)</v>
      </c>
      <c r="I31" s="3" t="str">
        <f>IF(ISBLANK('[1]Lithium Qualified Studies'!B4),"",'[1]Lithium Qualified Studies'!B4)</f>
        <v>Energy, greenhouse gas, and water life cycle analysis of lithium carbonate and lithium hydroxide monohydrate from brine and ore resources and their use in lithium ion battery cathodes and lithium ion batteries</v>
      </c>
      <c r="J31" s="3" t="str">
        <f>IF(ISBLANK('[1]Lithium Qualified Studies'!C4),"",'[1]Lithium Qualified Studies'!C4)</f>
        <v>https://doi.org/10.1016/j.resconrec.2021.105762</v>
      </c>
      <c r="K31" s="3" t="str">
        <f>IF(ISBLANK('[1]Lithium Qualified Studies'!D4),"",'[1]Lithium Qualified Studies'!D4)</f>
        <v>Literature</v>
      </c>
      <c r="L31" s="3" t="str">
        <f>IF(ISBLANK('[1]Lithium Qualified Studies'!E4),"",'[1]Lithium Qualified Studies'!E4)</f>
        <v>They report values for Li2CO3 and LiOH•H2O from brine with 4 allocation methods and from ore:
Li2CO3 
brine: 
mass: 2.7 tonne CO2e/tonne
value: 3.1 tonne CO2e/tonne
product: 2.9 tonne CO2e/tonne
process: 2.8 tonne CO2e/tonne
ore: 20.4 tonne CO2e/tonne
LiOH•H2O
brine: 
mass: 6.9 tonne CO2e/tonne
value: 7.3 tonne CO2e/tonne
product: 7.1 tonne CO2e/tonne
process: 7.0 tonne CO2e/tonne
ore: 15.7 tonne CO2e/tonne</v>
      </c>
      <c r="M31" s="3" t="str">
        <f>IF(ISBLANK('[1]Lithium Qualified Studies'!F4),"",'[1]Lithium Qualified Studies'!F4)</f>
        <v>Li2CO3 
brine: 
mass: 2.7 kg CO2eq/kg Li2CO3
value: 3.1 kg CO2eq/kg Li2CO3
product: 2.9 kg CO2eq/kg Li2CO3
process: 2.8 kg CO2eq/kg Li2CO3
ore: 20.4 kg CO2eq/kg Li2CO3
LiOH•H2O
brine: 
mass: 6.9  kg CO2 eq / kg LiOH⋅H2O
value: 7.3  kg CO2 eq / kg LiOH⋅H2O
product: 7.1  kg CO2 eq / kg LiOH⋅H2O
process: 7.0  kg CO2 eq / kg LiOH⋅H2O
ore: 15.7  kg CO2 eq / kg LiOH⋅H2O</v>
      </c>
      <c r="N31" s="3" t="str">
        <f>IF(ISBLANK('[1]Lithium Qualified Studies'!G4),"",'[1]Lithium Qualified Studies'!G4)</f>
        <v>Yes → production from brine is based on primary data, production from ore is based on a combination of the literature, engineering estimation, and primary data</v>
      </c>
      <c r="O31" s="3" t="str">
        <f>IF(ISBLANK('[1]Lithium Qualified Studies'!H4),"",'[1]Lithium Qualified Studies'!H4)</f>
        <v>1 tonne of battery-grade product (Li2CO3 or LiOH•H2O)</v>
      </c>
      <c r="P31" s="3" t="str">
        <f>IF(ISBLANK('[1]Lithium Qualified Studies'!I4),"",'[1]Lithium Qualified Studies'!I4)</f>
        <v>cradle to gate → screenshot</v>
      </c>
      <c r="Q31" s="3" t="str">
        <f>IF(ISBLANK('[1]Lithium Qualified Studies'!J4),"",'[1]Lithium Qualified Studies'!J4)</f>
        <v>++ transparent</v>
      </c>
      <c r="R31" s="3" t="str">
        <f>IF(ISBLANK('[1]Lithium Qualified Studies'!K4),"",'[1]Lithium Qualified Studies'!K4)</f>
        <v>Brine, Li2CO3, LiOH ∗ H2O, Minerals</v>
      </c>
      <c r="S31" s="3" t="str">
        <f>IF(ISBLANK('[1]Lithium Qualified Studies'!L4),"",'[1]Lithium Qualified Studies'!L4)</f>
        <v>Vanessa, systematic lit rev</v>
      </c>
      <c r="T31" s="3" t="str">
        <f>IF(ISBLANK('[1]Lithium Qualified Studies'!M4),"",'[1]Lithium Qualified Studies'!M4)</f>
        <v>Australia, Chile, China, Global</v>
      </c>
      <c r="U31" s="3" t="str">
        <f>IF(ISBLANK('[1]Lithium Qualified Studies'!N4),"",'[1]Lithium Qualified Studies'!N4)</f>
        <v>Salar de Atacama</v>
      </c>
      <c r="V31" s="8" t="b">
        <v>0</v>
      </c>
      <c r="W31" s="110"/>
    </row>
    <row r="32" spans="1:26" ht="16.95" customHeight="1" x14ac:dyDescent="0.3">
      <c r="G32" s="1" t="str">
        <f>IF(H32="Stamp et al. (2012)","","ERROR - check row order of Notion export")</f>
        <v/>
      </c>
      <c r="H32" s="3" t="str">
        <f>IF(ISBLANK('[1]Lithium Qualified Studies'!A5),"",'[1]Lithium Qualified Studies'!A5)</f>
        <v>Stamp et al. (2012)</v>
      </c>
      <c r="I32" s="3" t="str">
        <f>IF(ISBLANK('[1]Lithium Qualified Studies'!B5),"",'[1]Lithium Qualified Studies'!B5)</f>
        <v>Environmental impacts of a transition toward e-mobility: the present and future role of lithium carbonate production</v>
      </c>
      <c r="J32" s="3" t="str">
        <f>IF(ISBLANK('[1]Lithium Qualified Studies'!C5),"",'[1]Lithium Qualified Studies'!C5)</f>
        <v>https://doi.org/10.1016/j.jclepro.2011.10.026</v>
      </c>
      <c r="K32" s="3" t="str">
        <f>IF(ISBLANK('[1]Lithium Qualified Studies'!D5),"",'[1]Lithium Qualified Studies'!D5)</f>
        <v>Literature</v>
      </c>
      <c r="L32" s="3" t="str">
        <f>IF(ISBLANK('[1]Lithium Qualified Studies'!E5),"",'[1]Lithium Qualified Studies'!E5)</f>
        <v>brine (favorable): 2.02 kg CO2 eq / kg Li2CO3
brine (unfavorable): 82.01 kg CO2 eq / kg Li2CO3
spodumene (favorable): 2.27 kg CO2 eq / kg Li2CO3
spodumene (unfavorable): 2.62 kg CO2 eq / kg Li2CO3</v>
      </c>
      <c r="M32" s="3" t="str">
        <f>IF(ISBLANK('[1]Lithium Qualified Studies'!F5),"",'[1]Lithium Qualified Studies'!F5)</f>
        <v>brine (favorable): 2.02 kg CO2 eq / kg Li2CO3
brine (unfavorable): 82.01 kg CO2 eq / kg Li2CO3
spodumene (favorable): 2.27 kg CO2 eq / kg Li2CO3
spodumene (unfavorable): 2.62 kg CO2 eq / kg Li2CO3</v>
      </c>
      <c r="N32" s="3" t="str">
        <f>IF(ISBLANK('[1]Lithium Qualified Studies'!G5),"",'[1]Lithium Qualified Studies'!G5)</f>
        <v>partially → see comments</v>
      </c>
      <c r="O32" s="3" t="str">
        <f>IF(ISBLANK('[1]Lithium Qualified Studies'!H5),"",'[1]Lithium Qualified Studies'!H5)</f>
        <v>1 kg Li2CO3</v>
      </c>
      <c r="P32" s="3" t="str">
        <f>IF(ISBLANK('[1]Lithium Qualified Studies'!I5),"",'[1]Lithium Qualified Studies'!I5)</f>
        <v>cradle to gate → “The resource provision level represents the production of Li2CO3 from resource extraction to the final product at plant gate”</v>
      </c>
      <c r="Q32" s="3" t="str">
        <f>IF(ISBLANK('[1]Lithium Qualified Studies'!J5),"",'[1]Lithium Qualified Studies'!J5)</f>
        <v>+ transparent</v>
      </c>
      <c r="R32" s="3" t="str">
        <f>IF(ISBLANK('[1]Lithium Qualified Studies'!K5),"",'[1]Lithium Qualified Studies'!K5)</f>
        <v>Brine, Li2CO3, Minerals</v>
      </c>
      <c r="S32" s="3" t="str">
        <f>IF(ISBLANK('[1]Lithium Qualified Studies'!L5),"",'[1]Lithium Qualified Studies'!L5)</f>
        <v>Vanessa, systematic lit rev</v>
      </c>
      <c r="T32" s="3" t="str">
        <f>IF(ISBLANK('[1]Lithium Qualified Studies'!M5),"",'[1]Lithium Qualified Studies'!M5)</f>
        <v>Australia, Bolivia, Chile, China, Global</v>
      </c>
      <c r="U32" s="3" t="str">
        <f>IF(ISBLANK('[1]Lithium Qualified Studies'!N5),"",'[1]Lithium Qualified Studies'!N5)</f>
        <v>Greenbush, Manono Lithium-Tin Project, Salar de Atacama, Salar de Uyuni</v>
      </c>
      <c r="V32" s="8" t="b">
        <v>0</v>
      </c>
      <c r="W32" s="110"/>
    </row>
    <row r="33" spans="7:23" ht="16.05" customHeight="1" x14ac:dyDescent="0.3">
      <c r="G33" s="1" t="str">
        <f>IF(H33="Jiang et al (2020)","","ERROR - check row order of Notion export")</f>
        <v/>
      </c>
      <c r="H33" s="3" t="str">
        <f>IF(ISBLANK('[1]Lithium Qualified Studies'!A6),"",'[1]Lithium Qualified Studies'!A6)</f>
        <v>Jiang et al (2020)</v>
      </c>
      <c r="I33" s="3" t="str">
        <f>IF(ISBLANK('[1]Lithium Qualified Studies'!B6),"",'[1]Lithium Qualified Studies'!B6)</f>
        <v>Environmental impacts of lithium production showing the importance of primary data of upstream process in life-cycle assessment</v>
      </c>
      <c r="J33" s="3" t="str">
        <f>IF(ISBLANK('[1]Lithium Qualified Studies'!C6),"",'[1]Lithium Qualified Studies'!C6)</f>
        <v>https://doi.org/10.1016/j.jenvman.2020.110253</v>
      </c>
      <c r="K33" s="3" t="str">
        <f>IF(ISBLANK('[1]Lithium Qualified Studies'!D6),"",'[1]Lithium Qualified Studies'!D6)</f>
        <v>Literature</v>
      </c>
      <c r="L33" s="3" t="str">
        <f>IF(ISBLANK('[1]Lithium Qualified Studies'!E6),"",'[1]Lithium Qualified Studies'!E6)</f>
        <v>Rock-based lithium: 15.69 kg CO2 eq/kg Li2CO3 (90% CI 5.2%)
Brine-based lithium: 3.29E-01 kg CO2 eq/kg Li2CO3</v>
      </c>
      <c r="M33" s="3" t="str">
        <f>IF(ISBLANK('[1]Lithium Qualified Studies'!F6),"",'[1]Lithium Qualified Studies'!F6)</f>
        <v>Rock-based lithium: 15.69 kg CO2 eq/kg Li2CO3
Brine-based lithium: 0.329 kg CO2 eq/kg Li2CO3</v>
      </c>
      <c r="N33" s="3" t="str">
        <f>IF(ISBLANK('[1]Lithium Qualified Studies'!G6),"",'[1]Lithium Qualified Studies'!G6)</f>
        <v>Yes → see comments</v>
      </c>
      <c r="O33" s="3" t="str">
        <f>IF(ISBLANK('[1]Lithium Qualified Studies'!H6),"",'[1]Lithium Qualified Studies'!H6)</f>
        <v>1 kg of refined lithium carbonate (Li2CO3) with a purity of 99.9% preparing for Li-ion battery</v>
      </c>
      <c r="P33" s="3" t="str">
        <f>IF(ISBLANK('[1]Lithium Qualified Studies'!I6),"",'[1]Lithium Qualified Studies'!I6)</f>
        <v>cradle to gate → see screenshot</v>
      </c>
      <c r="Q33" s="3" t="str">
        <f>IF(ISBLANK('[1]Lithium Qualified Studies'!J6),"",'[1]Lithium Qualified Studies'!J6)</f>
        <v>++ transparent</v>
      </c>
      <c r="R33" s="3" t="str">
        <f>IF(ISBLANK('[1]Lithium Qualified Studies'!K6),"",'[1]Lithium Qualified Studies'!K6)</f>
        <v>Brine, Li2CO3, Minerals</v>
      </c>
      <c r="S33" s="3" t="str">
        <f>IF(ISBLANK('[1]Lithium Qualified Studies'!L6),"",'[1]Lithium Qualified Studies'!L6)</f>
        <v>Vanessa, connectedpapers.com, systematic lit rev</v>
      </c>
      <c r="T33" s="3" t="str">
        <f>IF(ISBLANK('[1]Lithium Qualified Studies'!M6),"",'[1]Lithium Qualified Studies'!M6)</f>
        <v>Argentina, Australia, China</v>
      </c>
      <c r="U33" s="3" t="str">
        <f>IF(ISBLANK('[1]Lithium Qualified Studies'!N6),"",'[1]Lithium Qualified Studies'!N6)</f>
        <v>Salar de Atacama</v>
      </c>
      <c r="V33" s="8" t="b">
        <v>0</v>
      </c>
      <c r="W33" s="110"/>
    </row>
    <row r="34" spans="7:23" s="6" customFormat="1" x14ac:dyDescent="0.3">
      <c r="G34" s="1" t="str">
        <f>IF(H34="GREET 2022 [from brine]","","ERROR - check row order of Notion export")</f>
        <v/>
      </c>
      <c r="H34" s="3" t="str">
        <f>IF(ISBLANK('[1]Lithium Qualified Studies'!A7),"",'[1]Lithium Qualified Studies'!A7)</f>
        <v>GREET 2022 [from brine]</v>
      </c>
      <c r="I34" s="3" t="str">
        <f>IF(ISBLANK('[1]Lithium Qualified Studies'!B7),"",'[1]Lithium Qualified Studies'!B7)</f>
        <v>GREET 2022 .net</v>
      </c>
      <c r="J34" s="3" t="str">
        <f>IF(ISBLANK('[1]Lithium Qualified Studies'!C7),"",'[1]Lithium Qualified Studies'!C7)</f>
        <v>https://greet.anl.gov/</v>
      </c>
      <c r="K34" s="3" t="str">
        <f>IF(ISBLANK('[1]Lithium Qualified Studies'!D7),"",'[1]Lithium Qualified Studies'!D7)</f>
        <v>Database</v>
      </c>
      <c r="L34" s="3" t="str">
        <f>IF(ISBLANK('[1]Lithium Qualified Studies'!E7),"",'[1]Lithium Qualified Studies'!E7)</f>
        <v>2.8 kg CO2e/kg Li2CO3</v>
      </c>
      <c r="M34" s="3" t="str">
        <f>IF(ISBLANK('[1]Lithium Qualified Studies'!F7),"",'[1]Lithium Qualified Studies'!F7)</f>
        <v>2.8 kg CO2e/kg Li2CO3</v>
      </c>
      <c r="N34" s="3" t="str">
        <f>IF(ISBLANK('[1]Lithium Qualified Studies'!G7),"",'[1]Lithium Qualified Studies'!G7)</f>
        <v>based on Kelly (2021)</v>
      </c>
      <c r="O34" s="3" t="str">
        <f>IF(ISBLANK('[1]Lithium Qualified Studies'!H7),"",'[1]Lithium Qualified Studies'!H7)</f>
        <v>1 kg Li2CO3 (battery grade)</v>
      </c>
      <c r="P34" s="3" t="str">
        <f>IF(ISBLANK('[1]Lithium Qualified Studies'!I7),"",'[1]Lithium Qualified Studies'!I7)</f>
        <v/>
      </c>
      <c r="Q34" s="3" t="str">
        <f>IF(ISBLANK('[1]Lithium Qualified Studies'!J7),"",'[1]Lithium Qualified Studies'!J7)</f>
        <v/>
      </c>
      <c r="R34" s="3" t="str">
        <f>IF(ISBLANK('[1]Lithium Qualified Studies'!K7),"",'[1]Lithium Qualified Studies'!K7)</f>
        <v>Brine, Li2CO3</v>
      </c>
      <c r="S34" s="3" t="str">
        <f>IF(ISBLANK('[1]Lithium Qualified Studies'!L7),"",'[1]Lithium Qualified Studies'!L7)</f>
        <v/>
      </c>
      <c r="T34" s="3" t="str">
        <f>IF(ISBLANK('[1]Lithium Qualified Studies'!M7),"",'[1]Lithium Qualified Studies'!M7)</f>
        <v>Chile</v>
      </c>
      <c r="U34" s="3" t="str">
        <f>IF(ISBLANK('[1]Lithium Qualified Studies'!N7),"",'[1]Lithium Qualified Studies'!N7)</f>
        <v>Salar de Atacama</v>
      </c>
      <c r="V34" s="8" t="b">
        <v>0</v>
      </c>
      <c r="W34" s="9" t="s">
        <v>111</v>
      </c>
    </row>
    <row r="35" spans="7:23" x14ac:dyDescent="0.3">
      <c r="G35" s="1" t="str">
        <f>IF(H35="GREET 2022 [from ore]","","ERROR - check row order of Notion export")</f>
        <v/>
      </c>
      <c r="H35" s="3" t="str">
        <f>IF(ISBLANK('[1]Lithium Qualified Studies'!A8),"",'[1]Lithium Qualified Studies'!A8)</f>
        <v>GREET 2022 [from ore]</v>
      </c>
      <c r="I35" s="3" t="str">
        <f>IF(ISBLANK('[1]Lithium Qualified Studies'!B8),"",'[1]Lithium Qualified Studies'!B8)</f>
        <v>GREET 2022 .net</v>
      </c>
      <c r="J35" s="3" t="str">
        <f>IF(ISBLANK('[1]Lithium Qualified Studies'!C8),"",'[1]Lithium Qualified Studies'!C8)</f>
        <v>https://greet.anl.gov/</v>
      </c>
      <c r="K35" s="3" t="str">
        <f>IF(ISBLANK('[1]Lithium Qualified Studies'!D8),"",'[1]Lithium Qualified Studies'!D8)</f>
        <v>Database</v>
      </c>
      <c r="L35" s="3" t="str">
        <f>IF(ISBLANK('[1]Lithium Qualified Studies'!E8),"",'[1]Lithium Qualified Studies'!E8)</f>
        <v>20.2 kg CO2e/kg Li2CO3</v>
      </c>
      <c r="M35" s="3" t="str">
        <f>IF(ISBLANK('[1]Lithium Qualified Studies'!F8),"",'[1]Lithium Qualified Studies'!F8)</f>
        <v>20.2 kg CO2e/kg Li2CO3</v>
      </c>
      <c r="N35" s="3" t="str">
        <f>IF(ISBLANK('[1]Lithium Qualified Studies'!G8),"",'[1]Lithium Qualified Studies'!G8)</f>
        <v>based on Kelly (2021)</v>
      </c>
      <c r="O35" s="3" t="str">
        <f>IF(ISBLANK('[1]Lithium Qualified Studies'!H8),"",'[1]Lithium Qualified Studies'!H8)</f>
        <v>1 kg Li2CO3 (battery grade)</v>
      </c>
      <c r="P35" s="3" t="str">
        <f>IF(ISBLANK('[1]Lithium Qualified Studies'!I8),"",'[1]Lithium Qualified Studies'!I8)</f>
        <v/>
      </c>
      <c r="Q35" s="3" t="str">
        <f>IF(ISBLANK('[1]Lithium Qualified Studies'!J8),"",'[1]Lithium Qualified Studies'!J8)</f>
        <v/>
      </c>
      <c r="R35" s="3" t="str">
        <f>IF(ISBLANK('[1]Lithium Qualified Studies'!K8),"",'[1]Lithium Qualified Studies'!K8)</f>
        <v>Li2CO3, Minerals</v>
      </c>
      <c r="S35" s="3" t="str">
        <f>IF(ISBLANK('[1]Lithium Qualified Studies'!L8),"",'[1]Lithium Qualified Studies'!L8)</f>
        <v/>
      </c>
      <c r="T35" s="3" t="str">
        <f>IF(ISBLANK('[1]Lithium Qualified Studies'!M8),"",'[1]Lithium Qualified Studies'!M8)</f>
        <v>Australia, China</v>
      </c>
      <c r="U35" s="3" t="str">
        <f>IF(ISBLANK('[1]Lithium Qualified Studies'!N8),"",'[1]Lithium Qualified Studies'!N8)</f>
        <v/>
      </c>
      <c r="V35" s="8" t="b">
        <v>0</v>
      </c>
      <c r="W35" s="9" t="s">
        <v>111</v>
      </c>
    </row>
    <row r="36" spans="7:23" x14ac:dyDescent="0.3">
      <c r="G36" s="1" t="str">
        <f>IF(H36="EI 3.9.1 [from ore, RoW]","","ERROR - check row order of Notion export")</f>
        <v/>
      </c>
      <c r="H36" s="3" t="str">
        <f>IF(ISBLANK('[1]Lithium Qualified Studies'!A9),"",'[1]Lithium Qualified Studies'!A9)</f>
        <v>EI 3.9.1 [from ore, RoW]</v>
      </c>
      <c r="I36" s="3" t="str">
        <f>IF(ISBLANK('[1]Lithium Qualified Studies'!B9),"",'[1]Lithium Qualified Studies'!B9)</f>
        <v>lithium carbonate production, from spodumene</v>
      </c>
      <c r="J36" s="3" t="str">
        <f>IF(ISBLANK('[1]Lithium Qualified Studies'!C9),"",'[1]Lithium Qualified Studies'!C9)</f>
        <v>https://ecoquery.ecoinvent.org/3.9.1/cutoff/dataset/24583/impact_assessment</v>
      </c>
      <c r="K36" s="3" t="str">
        <f>IF(ISBLANK('[1]Lithium Qualified Studies'!D9),"",'[1]Lithium Qualified Studies'!D9)</f>
        <v>Database</v>
      </c>
      <c r="L36" s="3" t="str">
        <f>IF(ISBLANK('[1]Lithium Qualified Studies'!E9),"",'[1]Lithium Qualified Studies'!E9)</f>
        <v>9.5289 kg CO2e/kg Li2CO3</v>
      </c>
      <c r="M36" s="3" t="str">
        <f>IF(ISBLANK('[1]Lithium Qualified Studies'!F9),"",'[1]Lithium Qualified Studies'!F9)</f>
        <v>9.5289 kg CO2e/kg Li2CO3</v>
      </c>
      <c r="N36" s="3" t="str">
        <f>IF(ISBLANK('[1]Lithium Qualified Studies'!G9),"",'[1]Lithium Qualified Studies'!G9)</f>
        <v>based on Jiang et al. (2020)</v>
      </c>
      <c r="O36" s="3" t="str">
        <f>IF(ISBLANK('[1]Lithium Qualified Studies'!H9),"",'[1]Lithium Qualified Studies'!H9)</f>
        <v>1 kg of refined lithium carbonate (Li2CO3), with 99.9% purity.</v>
      </c>
      <c r="P36" s="3" t="str">
        <f>IF(ISBLANK('[1]Lithium Qualified Studies'!I9),"",'[1]Lithium Qualified Studies'!I9)</f>
        <v/>
      </c>
      <c r="Q36" s="3" t="str">
        <f>IF(ISBLANK('[1]Lithium Qualified Studies'!J9),"",'[1]Lithium Qualified Studies'!J9)</f>
        <v/>
      </c>
      <c r="R36" s="3" t="str">
        <f>IF(ISBLANK('[1]Lithium Qualified Studies'!K9),"",'[1]Lithium Qualified Studies'!K9)</f>
        <v>Li2CO3, Minerals</v>
      </c>
      <c r="S36" s="3" t="str">
        <f>IF(ISBLANK('[1]Lithium Qualified Studies'!L9),"",'[1]Lithium Qualified Studies'!L9)</f>
        <v/>
      </c>
      <c r="T36" s="3" t="str">
        <f>IF(ISBLANK('[1]Lithium Qualified Studies'!M9),"",'[1]Lithium Qualified Studies'!M9)</f>
        <v>Australia, China</v>
      </c>
      <c r="U36" s="3" t="str">
        <f>IF(ISBLANK('[1]Lithium Qualified Studies'!N9),"",'[1]Lithium Qualified Studies'!N9)</f>
        <v/>
      </c>
      <c r="V36" s="8" t="b">
        <v>0</v>
      </c>
      <c r="W36" s="9" t="s">
        <v>111</v>
      </c>
    </row>
    <row r="37" spans="7:23" x14ac:dyDescent="0.3">
      <c r="G37" s="1" t="str">
        <f>IF(H37="EI 3.9.1 [from ore, CN]","","ERROR - check row order of Notion export")</f>
        <v/>
      </c>
      <c r="H37" s="3" t="str">
        <f>IF(ISBLANK('[1]Lithium Qualified Studies'!A10),"",'[1]Lithium Qualified Studies'!A10)</f>
        <v>EI 3.9.1 [from ore, CN]</v>
      </c>
      <c r="I37" s="3" t="str">
        <f>IF(ISBLANK('[1]Lithium Qualified Studies'!B10),"",'[1]Lithium Qualified Studies'!B10)</f>
        <v>lithium carbonate production, from spodumene</v>
      </c>
      <c r="J37" s="3" t="str">
        <f>IF(ISBLANK('[1]Lithium Qualified Studies'!C10),"",'[1]Lithium Qualified Studies'!C10)</f>
        <v>https://ecoquery.ecoinvent.org/3.9.1/cutoff/dataset/24929/impact_assessment</v>
      </c>
      <c r="K37" s="3" t="str">
        <f>IF(ISBLANK('[1]Lithium Qualified Studies'!D10),"",'[1]Lithium Qualified Studies'!D10)</f>
        <v>Database</v>
      </c>
      <c r="L37" s="3" t="str">
        <f>IF(ISBLANK('[1]Lithium Qualified Studies'!E10),"",'[1]Lithium Qualified Studies'!E10)</f>
        <v>1.0676 kg CO2e/kg Li2CO3</v>
      </c>
      <c r="M37" s="3" t="str">
        <f>IF(ISBLANK('[1]Lithium Qualified Studies'!F10),"",'[1]Lithium Qualified Studies'!F10)</f>
        <v>1.0676 kg CO2e/kg Li2CO3</v>
      </c>
      <c r="N37" s="3" t="str">
        <f>IF(ISBLANK('[1]Lithium Qualified Studies'!G10),"",'[1]Lithium Qualified Studies'!G10)</f>
        <v>based on Jiang et al. (2020)</v>
      </c>
      <c r="O37" s="3" t="str">
        <f>IF(ISBLANK('[1]Lithium Qualified Studies'!H10),"",'[1]Lithium Qualified Studies'!H10)</f>
        <v>1 kg of refined lithium carbonate (Li2CO3), with 99.9% purity.</v>
      </c>
      <c r="P37" s="3" t="str">
        <f>IF(ISBLANK('[1]Lithium Qualified Studies'!I10),"",'[1]Lithium Qualified Studies'!I10)</f>
        <v/>
      </c>
      <c r="Q37" s="3" t="str">
        <f>IF(ISBLANK('[1]Lithium Qualified Studies'!J10),"",'[1]Lithium Qualified Studies'!J10)</f>
        <v/>
      </c>
      <c r="R37" s="3" t="str">
        <f>IF(ISBLANK('[1]Lithium Qualified Studies'!K10),"",'[1]Lithium Qualified Studies'!K10)</f>
        <v>Li2CO3, Minerals</v>
      </c>
      <c r="S37" s="3" t="str">
        <f>IF(ISBLANK('[1]Lithium Qualified Studies'!L10),"",'[1]Lithium Qualified Studies'!L10)</f>
        <v/>
      </c>
      <c r="T37" s="3" t="str">
        <f>IF(ISBLANK('[1]Lithium Qualified Studies'!M10),"",'[1]Lithium Qualified Studies'!M10)</f>
        <v>China</v>
      </c>
      <c r="U37" s="3" t="str">
        <f>IF(ISBLANK('[1]Lithium Qualified Studies'!N10),"",'[1]Lithium Qualified Studies'!N10)</f>
        <v/>
      </c>
      <c r="V37" s="8" t="b">
        <v>0</v>
      </c>
      <c r="W37" s="9" t="s">
        <v>111</v>
      </c>
    </row>
    <row r="38" spans="7:23" x14ac:dyDescent="0.3">
      <c r="G38" s="1" t="str">
        <f>IF(H38="EI 3.9.1 [from brine, GLO]","","ERROR - check row order of Notion export")</f>
        <v/>
      </c>
      <c r="H38" s="3" t="str">
        <f>IF(ISBLANK('[1]Lithium Qualified Studies'!A11),"",'[1]Lithium Qualified Studies'!A11)</f>
        <v>EI 3.9.1 [from brine, GLO]</v>
      </c>
      <c r="I38" s="3" t="str">
        <f>IF(ISBLANK('[1]Lithium Qualified Studies'!B11),"",'[1]Lithium Qualified Studies'!B11)</f>
        <v>lithium carbonate production, from concentrated brine</v>
      </c>
      <c r="J38" s="3" t="str">
        <f>IF(ISBLANK('[1]Lithium Qualified Studies'!C11),"",'[1]Lithium Qualified Studies'!C11)</f>
        <v>https://ecoquery.ecoinvent.org/3.9.1/cutoff/dataset/2085/documentation</v>
      </c>
      <c r="K38" s="3" t="str">
        <f>IF(ISBLANK('[1]Lithium Qualified Studies'!D11),"",'[1]Lithium Qualified Studies'!D11)</f>
        <v>Database</v>
      </c>
      <c r="L38" s="3" t="str">
        <f>IF(ISBLANK('[1]Lithium Qualified Studies'!E11),"",'[1]Lithium Qualified Studies'!E11)</f>
        <v>2.1598 kg CO2e/kg Li2CO3</v>
      </c>
      <c r="M38" s="3" t="str">
        <f>IF(ISBLANK('[1]Lithium Qualified Studies'!F11),"",'[1]Lithium Qualified Studies'!F11)</f>
        <v>2.1598 kg CO2e/kg Li2CO3</v>
      </c>
      <c r="N38" s="3" t="str">
        <f>IF(ISBLANK('[1]Lithium Qualified Studies'!G11),"",'[1]Lithium Qualified Studies'!G11)</f>
        <v>based on an environmental survey from SEIA-CONAMA (2006) as well as environmental reports from a company in Chile (SQM)</v>
      </c>
      <c r="O38" s="3" t="str">
        <f>IF(ISBLANK('[1]Lithium Qualified Studies'!H11),"",'[1]Lithium Qualified Studies'!H11)</f>
        <v>1 kg of lithium carbonate from concentrated brine</v>
      </c>
      <c r="P38" s="3" t="str">
        <f>IF(ISBLANK('[1]Lithium Qualified Studies'!I11),"",'[1]Lithium Qualified Studies'!I11)</f>
        <v/>
      </c>
      <c r="Q38" s="3" t="str">
        <f>IF(ISBLANK('[1]Lithium Qualified Studies'!J11),"",'[1]Lithium Qualified Studies'!J11)</f>
        <v/>
      </c>
      <c r="R38" s="3" t="str">
        <f>IF(ISBLANK('[1]Lithium Qualified Studies'!K11),"",'[1]Lithium Qualified Studies'!K11)</f>
        <v>Brine, Li2CO3</v>
      </c>
      <c r="S38" s="3" t="str">
        <f>IF(ISBLANK('[1]Lithium Qualified Studies'!L11),"",'[1]Lithium Qualified Studies'!L11)</f>
        <v/>
      </c>
      <c r="T38" s="3" t="str">
        <f>IF(ISBLANK('[1]Lithium Qualified Studies'!M11),"",'[1]Lithium Qualified Studies'!M11)</f>
        <v>Chile</v>
      </c>
      <c r="U38" s="3" t="str">
        <f>IF(ISBLANK('[1]Lithium Qualified Studies'!N11),"",'[1]Lithium Qualified Studies'!N11)</f>
        <v/>
      </c>
      <c r="V38" s="8" t="b">
        <v>0</v>
      </c>
      <c r="W38" s="9" t="s">
        <v>111</v>
      </c>
    </row>
    <row r="39" spans="7:23" x14ac:dyDescent="0.3">
      <c r="G39" s="1" t="str">
        <f t="shared" ref="G39:G48" si="3">IF(H39="","","ERROR - check row order of Notion export")</f>
        <v/>
      </c>
      <c r="H39" s="3" t="str">
        <f>IF(ISBLANK('[1]Lithium Qualified Studies'!A12),"",'[1]Lithium Qualified Studies'!A12)</f>
        <v/>
      </c>
      <c r="I39" s="3" t="str">
        <f>IF(ISBLANK('[1]Lithium Qualified Studies'!B12),"",'[1]Lithium Qualified Studies'!B12)</f>
        <v/>
      </c>
      <c r="J39" s="3" t="str">
        <f>IF(ISBLANK('[1]Lithium Qualified Studies'!C12),"",'[1]Lithium Qualified Studies'!C12)</f>
        <v/>
      </c>
      <c r="K39" s="3" t="str">
        <f>IF(ISBLANK('[1]Lithium Qualified Studies'!D12),"",'[1]Lithium Qualified Studies'!D12)</f>
        <v/>
      </c>
      <c r="L39" s="3" t="str">
        <f>IF(ISBLANK('[1]Lithium Qualified Studies'!E12),"",'[1]Lithium Qualified Studies'!E12)</f>
        <v/>
      </c>
      <c r="M39" s="3" t="str">
        <f>IF(ISBLANK('[1]Lithium Qualified Studies'!F12),"",'[1]Lithium Qualified Studies'!F12)</f>
        <v/>
      </c>
      <c r="N39" s="3" t="str">
        <f>IF(ISBLANK('[1]Lithium Qualified Studies'!G12),"",'[1]Lithium Qualified Studies'!G12)</f>
        <v/>
      </c>
      <c r="O39" s="3" t="str">
        <f>IF(ISBLANK('[1]Lithium Qualified Studies'!H12),"",'[1]Lithium Qualified Studies'!H12)</f>
        <v/>
      </c>
      <c r="P39" s="3" t="str">
        <f>IF(ISBLANK('[1]Lithium Qualified Studies'!I12),"",'[1]Lithium Qualified Studies'!I12)</f>
        <v/>
      </c>
      <c r="Q39" s="3" t="str">
        <f>IF(ISBLANK('[1]Lithium Qualified Studies'!J12),"",'[1]Lithium Qualified Studies'!J12)</f>
        <v/>
      </c>
      <c r="R39" s="3" t="str">
        <f>IF(ISBLANK('[1]Lithium Qualified Studies'!K12),"",'[1]Lithium Qualified Studies'!K12)</f>
        <v/>
      </c>
      <c r="S39" s="3" t="str">
        <f>IF(ISBLANK('[1]Lithium Qualified Studies'!L12),"",'[1]Lithium Qualified Studies'!L12)</f>
        <v/>
      </c>
      <c r="T39" s="3" t="str">
        <f>IF(ISBLANK('[1]Lithium Qualified Studies'!M12),"",'[1]Lithium Qualified Studies'!M12)</f>
        <v/>
      </c>
      <c r="U39" s="3" t="str">
        <f>IF(ISBLANK('[1]Lithium Qualified Studies'!N12),"",'[1]Lithium Qualified Studies'!N12)</f>
        <v/>
      </c>
      <c r="V39" s="8"/>
      <c r="W39" s="9"/>
    </row>
    <row r="40" spans="7:23" x14ac:dyDescent="0.3">
      <c r="G40" s="1" t="str">
        <f t="shared" si="3"/>
        <v/>
      </c>
      <c r="H40" s="3" t="str">
        <f>IF(ISBLANK('[1]Lithium Qualified Studies'!A13),"",'[1]Lithium Qualified Studies'!A13)</f>
        <v/>
      </c>
      <c r="I40" s="3" t="str">
        <f>IF(ISBLANK('[1]Lithium Qualified Studies'!B13),"",'[1]Lithium Qualified Studies'!B13)</f>
        <v/>
      </c>
      <c r="J40" s="3" t="str">
        <f>IF(ISBLANK('[1]Lithium Qualified Studies'!C13),"",'[1]Lithium Qualified Studies'!C13)</f>
        <v/>
      </c>
      <c r="K40" s="3" t="str">
        <f>IF(ISBLANK('[1]Lithium Qualified Studies'!D13),"",'[1]Lithium Qualified Studies'!D13)</f>
        <v/>
      </c>
      <c r="L40" s="3" t="str">
        <f>IF(ISBLANK('[1]Lithium Qualified Studies'!E13),"",'[1]Lithium Qualified Studies'!E13)</f>
        <v/>
      </c>
      <c r="M40" s="3" t="str">
        <f>IF(ISBLANK('[1]Lithium Qualified Studies'!F13),"",'[1]Lithium Qualified Studies'!F13)</f>
        <v/>
      </c>
      <c r="N40" s="3" t="str">
        <f>IF(ISBLANK('[1]Lithium Qualified Studies'!G13),"",'[1]Lithium Qualified Studies'!G13)</f>
        <v/>
      </c>
      <c r="O40" s="3" t="str">
        <f>IF(ISBLANK('[1]Lithium Qualified Studies'!H13),"",'[1]Lithium Qualified Studies'!H13)</f>
        <v/>
      </c>
      <c r="P40" s="3" t="str">
        <f>IF(ISBLANK('[1]Lithium Qualified Studies'!I13),"",'[1]Lithium Qualified Studies'!I13)</f>
        <v/>
      </c>
      <c r="Q40" s="3" t="str">
        <f>IF(ISBLANK('[1]Lithium Qualified Studies'!J13),"",'[1]Lithium Qualified Studies'!J13)</f>
        <v/>
      </c>
      <c r="R40" s="3" t="str">
        <f>IF(ISBLANK('[1]Lithium Qualified Studies'!K13),"",'[1]Lithium Qualified Studies'!K13)</f>
        <v/>
      </c>
      <c r="S40" s="3" t="str">
        <f>IF(ISBLANK('[1]Lithium Qualified Studies'!L13),"",'[1]Lithium Qualified Studies'!L13)</f>
        <v/>
      </c>
      <c r="T40" s="3" t="str">
        <f>IF(ISBLANK('[1]Lithium Qualified Studies'!M13),"",'[1]Lithium Qualified Studies'!M13)</f>
        <v/>
      </c>
      <c r="U40" s="3" t="str">
        <f>IF(ISBLANK('[1]Lithium Qualified Studies'!N13),"",'[1]Lithium Qualified Studies'!N13)</f>
        <v/>
      </c>
      <c r="V40" s="8"/>
      <c r="W40" s="9"/>
    </row>
    <row r="41" spans="7:23" x14ac:dyDescent="0.3">
      <c r="G41" s="1" t="str">
        <f t="shared" si="3"/>
        <v/>
      </c>
      <c r="H41" s="3" t="str">
        <f>IF(ISBLANK('[1]Lithium Qualified Studies'!A14),"",'[1]Lithium Qualified Studies'!A14)</f>
        <v/>
      </c>
      <c r="I41" s="3" t="str">
        <f>IF(ISBLANK('[1]Lithium Qualified Studies'!B14),"",'[1]Lithium Qualified Studies'!B14)</f>
        <v/>
      </c>
      <c r="J41" s="3" t="str">
        <f>IF(ISBLANK('[1]Lithium Qualified Studies'!C14),"",'[1]Lithium Qualified Studies'!C14)</f>
        <v/>
      </c>
      <c r="K41" s="3" t="str">
        <f>IF(ISBLANK('[1]Lithium Qualified Studies'!D14),"",'[1]Lithium Qualified Studies'!D14)</f>
        <v/>
      </c>
      <c r="L41" s="3" t="str">
        <f>IF(ISBLANK('[1]Lithium Qualified Studies'!E14),"",'[1]Lithium Qualified Studies'!E14)</f>
        <v/>
      </c>
      <c r="M41" s="3" t="str">
        <f>IF(ISBLANK('[1]Lithium Qualified Studies'!F14),"",'[1]Lithium Qualified Studies'!F14)</f>
        <v/>
      </c>
      <c r="N41" s="3" t="str">
        <f>IF(ISBLANK('[1]Lithium Qualified Studies'!G14),"",'[1]Lithium Qualified Studies'!G14)</f>
        <v/>
      </c>
      <c r="O41" s="3" t="str">
        <f>IF(ISBLANK('[1]Lithium Qualified Studies'!H14),"",'[1]Lithium Qualified Studies'!H14)</f>
        <v/>
      </c>
      <c r="P41" s="3" t="str">
        <f>IF(ISBLANK('[1]Lithium Qualified Studies'!I14),"",'[1]Lithium Qualified Studies'!I14)</f>
        <v/>
      </c>
      <c r="Q41" s="3" t="str">
        <f>IF(ISBLANK('[1]Lithium Qualified Studies'!J14),"",'[1]Lithium Qualified Studies'!J14)</f>
        <v/>
      </c>
      <c r="R41" s="3" t="str">
        <f>IF(ISBLANK('[1]Lithium Qualified Studies'!K14),"",'[1]Lithium Qualified Studies'!K14)</f>
        <v/>
      </c>
      <c r="S41" s="3" t="str">
        <f>IF(ISBLANK('[1]Lithium Qualified Studies'!L14),"",'[1]Lithium Qualified Studies'!L14)</f>
        <v/>
      </c>
      <c r="T41" s="3" t="str">
        <f>IF(ISBLANK('[1]Lithium Qualified Studies'!M14),"",'[1]Lithium Qualified Studies'!M14)</f>
        <v/>
      </c>
      <c r="U41" s="3" t="str">
        <f>IF(ISBLANK('[1]Lithium Qualified Studies'!N14),"",'[1]Lithium Qualified Studies'!N14)</f>
        <v/>
      </c>
      <c r="V41" s="8"/>
      <c r="W41" s="9"/>
    </row>
    <row r="42" spans="7:23" x14ac:dyDescent="0.3">
      <c r="G42" s="1" t="str">
        <f t="shared" si="3"/>
        <v/>
      </c>
      <c r="H42" s="3" t="str">
        <f>IF(ISBLANK('[1]Lithium Qualified Studies'!A15),"",'[1]Lithium Qualified Studies'!A15)</f>
        <v/>
      </c>
      <c r="I42" s="3" t="str">
        <f>IF(ISBLANK('[1]Lithium Qualified Studies'!B15),"",'[1]Lithium Qualified Studies'!B15)</f>
        <v/>
      </c>
      <c r="J42" s="3" t="str">
        <f>IF(ISBLANK('[1]Lithium Qualified Studies'!C15),"",'[1]Lithium Qualified Studies'!C15)</f>
        <v/>
      </c>
      <c r="K42" s="3" t="str">
        <f>IF(ISBLANK('[1]Lithium Qualified Studies'!D15),"",'[1]Lithium Qualified Studies'!D15)</f>
        <v/>
      </c>
      <c r="L42" s="3" t="str">
        <f>IF(ISBLANK('[1]Lithium Qualified Studies'!E15),"",'[1]Lithium Qualified Studies'!E15)</f>
        <v/>
      </c>
      <c r="M42" s="3" t="str">
        <f>IF(ISBLANK('[1]Lithium Qualified Studies'!F15),"",'[1]Lithium Qualified Studies'!F15)</f>
        <v/>
      </c>
      <c r="N42" s="3" t="str">
        <f>IF(ISBLANK('[1]Lithium Qualified Studies'!G15),"",'[1]Lithium Qualified Studies'!G15)</f>
        <v/>
      </c>
      <c r="O42" s="3" t="str">
        <f>IF(ISBLANK('[1]Lithium Qualified Studies'!H15),"",'[1]Lithium Qualified Studies'!H15)</f>
        <v/>
      </c>
      <c r="P42" s="3" t="str">
        <f>IF(ISBLANK('[1]Lithium Qualified Studies'!I15),"",'[1]Lithium Qualified Studies'!I15)</f>
        <v/>
      </c>
      <c r="Q42" s="3" t="str">
        <f>IF(ISBLANK('[1]Lithium Qualified Studies'!J15),"",'[1]Lithium Qualified Studies'!J15)</f>
        <v/>
      </c>
      <c r="R42" s="3" t="str">
        <f>IF(ISBLANK('[1]Lithium Qualified Studies'!K15),"",'[1]Lithium Qualified Studies'!K15)</f>
        <v/>
      </c>
      <c r="S42" s="3" t="str">
        <f>IF(ISBLANK('[1]Lithium Qualified Studies'!L15),"",'[1]Lithium Qualified Studies'!L15)</f>
        <v/>
      </c>
      <c r="T42" s="3" t="str">
        <f>IF(ISBLANK('[1]Lithium Qualified Studies'!M15),"",'[1]Lithium Qualified Studies'!M15)</f>
        <v/>
      </c>
      <c r="U42" s="3" t="str">
        <f>IF(ISBLANK('[1]Lithium Qualified Studies'!N15),"",'[1]Lithium Qualified Studies'!N15)</f>
        <v/>
      </c>
      <c r="V42" s="8"/>
      <c r="W42" s="9"/>
    </row>
    <row r="43" spans="7:23" x14ac:dyDescent="0.3">
      <c r="G43" s="1" t="str">
        <f t="shared" si="3"/>
        <v/>
      </c>
      <c r="H43" s="3" t="str">
        <f>IF(ISBLANK('[1]Lithium Qualified Studies'!A16),"",'[1]Lithium Qualified Studies'!A16)</f>
        <v/>
      </c>
      <c r="I43" s="3" t="str">
        <f>IF(ISBLANK('[1]Lithium Qualified Studies'!B16),"",'[1]Lithium Qualified Studies'!B16)</f>
        <v/>
      </c>
      <c r="J43" s="3" t="str">
        <f>IF(ISBLANK('[1]Lithium Qualified Studies'!C16),"",'[1]Lithium Qualified Studies'!C16)</f>
        <v/>
      </c>
      <c r="K43" s="3" t="str">
        <f>IF(ISBLANK('[1]Lithium Qualified Studies'!D16),"",'[1]Lithium Qualified Studies'!D16)</f>
        <v/>
      </c>
      <c r="L43" s="3" t="str">
        <f>IF(ISBLANK('[1]Lithium Qualified Studies'!E16),"",'[1]Lithium Qualified Studies'!E16)</f>
        <v/>
      </c>
      <c r="M43" s="3" t="str">
        <f>IF(ISBLANK('[1]Lithium Qualified Studies'!F16),"",'[1]Lithium Qualified Studies'!F16)</f>
        <v/>
      </c>
      <c r="N43" s="3" t="str">
        <f>IF(ISBLANK('[1]Lithium Qualified Studies'!G16),"",'[1]Lithium Qualified Studies'!G16)</f>
        <v/>
      </c>
      <c r="O43" s="3" t="str">
        <f>IF(ISBLANK('[1]Lithium Qualified Studies'!H16),"",'[1]Lithium Qualified Studies'!H16)</f>
        <v/>
      </c>
      <c r="P43" s="3" t="str">
        <f>IF(ISBLANK('[1]Lithium Qualified Studies'!I16),"",'[1]Lithium Qualified Studies'!I16)</f>
        <v/>
      </c>
      <c r="Q43" s="3" t="str">
        <f>IF(ISBLANK('[1]Lithium Qualified Studies'!J16),"",'[1]Lithium Qualified Studies'!J16)</f>
        <v/>
      </c>
      <c r="R43" s="3" t="str">
        <f>IF(ISBLANK('[1]Lithium Qualified Studies'!K16),"",'[1]Lithium Qualified Studies'!K16)</f>
        <v/>
      </c>
      <c r="S43" s="3" t="str">
        <f>IF(ISBLANK('[1]Lithium Qualified Studies'!L16),"",'[1]Lithium Qualified Studies'!L16)</f>
        <v/>
      </c>
      <c r="T43" s="3" t="str">
        <f>IF(ISBLANK('[1]Lithium Qualified Studies'!M16),"",'[1]Lithium Qualified Studies'!M16)</f>
        <v/>
      </c>
      <c r="U43" s="3" t="str">
        <f>IF(ISBLANK('[1]Lithium Qualified Studies'!N16),"",'[1]Lithium Qualified Studies'!N16)</f>
        <v/>
      </c>
      <c r="V43" s="8"/>
      <c r="W43" s="9"/>
    </row>
    <row r="44" spans="7:23" x14ac:dyDescent="0.3">
      <c r="G44" s="1" t="str">
        <f t="shared" si="3"/>
        <v/>
      </c>
      <c r="H44" s="3" t="str">
        <f>IF(ISBLANK('[1]Lithium Qualified Studies'!A17),"",'[1]Lithium Qualified Studies'!A17)</f>
        <v/>
      </c>
      <c r="I44" s="3" t="str">
        <f>IF(ISBLANK('[1]Lithium Qualified Studies'!B17),"",'[1]Lithium Qualified Studies'!B17)</f>
        <v/>
      </c>
      <c r="J44" s="3" t="str">
        <f>IF(ISBLANK('[1]Lithium Qualified Studies'!C17),"",'[1]Lithium Qualified Studies'!C17)</f>
        <v/>
      </c>
      <c r="K44" s="3" t="str">
        <f>IF(ISBLANK('[1]Lithium Qualified Studies'!D17),"",'[1]Lithium Qualified Studies'!D17)</f>
        <v/>
      </c>
      <c r="L44" s="3" t="str">
        <f>IF(ISBLANK('[1]Lithium Qualified Studies'!E17),"",'[1]Lithium Qualified Studies'!E17)</f>
        <v/>
      </c>
      <c r="M44" s="3" t="str">
        <f>IF(ISBLANK('[1]Lithium Qualified Studies'!F17),"",'[1]Lithium Qualified Studies'!F17)</f>
        <v/>
      </c>
      <c r="N44" s="3" t="str">
        <f>IF(ISBLANK('[1]Lithium Qualified Studies'!G17),"",'[1]Lithium Qualified Studies'!G17)</f>
        <v/>
      </c>
      <c r="O44" s="3" t="str">
        <f>IF(ISBLANK('[1]Lithium Qualified Studies'!H17),"",'[1]Lithium Qualified Studies'!H17)</f>
        <v/>
      </c>
      <c r="P44" s="3" t="str">
        <f>IF(ISBLANK('[1]Lithium Qualified Studies'!I17),"",'[1]Lithium Qualified Studies'!I17)</f>
        <v/>
      </c>
      <c r="Q44" s="3" t="str">
        <f>IF(ISBLANK('[1]Lithium Qualified Studies'!J17),"",'[1]Lithium Qualified Studies'!J17)</f>
        <v/>
      </c>
      <c r="R44" s="3" t="str">
        <f>IF(ISBLANK('[1]Lithium Qualified Studies'!K17),"",'[1]Lithium Qualified Studies'!K17)</f>
        <v/>
      </c>
      <c r="S44" s="3" t="str">
        <f>IF(ISBLANK('[1]Lithium Qualified Studies'!L17),"",'[1]Lithium Qualified Studies'!L17)</f>
        <v/>
      </c>
      <c r="T44" s="3" t="str">
        <f>IF(ISBLANK('[1]Lithium Qualified Studies'!M17),"",'[1]Lithium Qualified Studies'!M17)</f>
        <v/>
      </c>
      <c r="U44" s="3" t="str">
        <f>IF(ISBLANK('[1]Lithium Qualified Studies'!N17),"",'[1]Lithium Qualified Studies'!N17)</f>
        <v/>
      </c>
      <c r="V44" s="8"/>
      <c r="W44" s="9"/>
    </row>
    <row r="45" spans="7:23" x14ac:dyDescent="0.3">
      <c r="G45" s="1" t="str">
        <f t="shared" si="3"/>
        <v/>
      </c>
      <c r="H45" s="3" t="str">
        <f>IF(ISBLANK('[1]Lithium Qualified Studies'!A18),"",'[1]Lithium Qualified Studies'!A18)</f>
        <v/>
      </c>
      <c r="I45" s="3" t="str">
        <f>IF(ISBLANK('[1]Lithium Qualified Studies'!B18),"",'[1]Lithium Qualified Studies'!B18)</f>
        <v/>
      </c>
      <c r="J45" s="3" t="str">
        <f>IF(ISBLANK('[1]Lithium Qualified Studies'!C18),"",'[1]Lithium Qualified Studies'!C18)</f>
        <v/>
      </c>
      <c r="K45" s="3" t="str">
        <f>IF(ISBLANK('[1]Lithium Qualified Studies'!D18),"",'[1]Lithium Qualified Studies'!D18)</f>
        <v/>
      </c>
      <c r="L45" s="3" t="str">
        <f>IF(ISBLANK('[1]Lithium Qualified Studies'!E18),"",'[1]Lithium Qualified Studies'!E18)</f>
        <v/>
      </c>
      <c r="M45" s="3" t="str">
        <f>IF(ISBLANK('[1]Lithium Qualified Studies'!F18),"",'[1]Lithium Qualified Studies'!F18)</f>
        <v/>
      </c>
      <c r="N45" s="3" t="str">
        <f>IF(ISBLANK('[1]Lithium Qualified Studies'!G18),"",'[1]Lithium Qualified Studies'!G18)</f>
        <v/>
      </c>
      <c r="O45" s="3" t="str">
        <f>IF(ISBLANK('[1]Lithium Qualified Studies'!H18),"",'[1]Lithium Qualified Studies'!H18)</f>
        <v/>
      </c>
      <c r="P45" s="3" t="str">
        <f>IF(ISBLANK('[1]Lithium Qualified Studies'!I18),"",'[1]Lithium Qualified Studies'!I18)</f>
        <v/>
      </c>
      <c r="Q45" s="3" t="str">
        <f>IF(ISBLANK('[1]Lithium Qualified Studies'!J18),"",'[1]Lithium Qualified Studies'!J18)</f>
        <v/>
      </c>
      <c r="R45" s="3" t="str">
        <f>IF(ISBLANK('[1]Lithium Qualified Studies'!K18),"",'[1]Lithium Qualified Studies'!K18)</f>
        <v/>
      </c>
      <c r="S45" s="3" t="str">
        <f>IF(ISBLANK('[1]Lithium Qualified Studies'!L18),"",'[1]Lithium Qualified Studies'!L18)</f>
        <v/>
      </c>
      <c r="T45" s="3" t="str">
        <f>IF(ISBLANK('[1]Lithium Qualified Studies'!M18),"",'[1]Lithium Qualified Studies'!M18)</f>
        <v/>
      </c>
      <c r="U45" s="3" t="str">
        <f>IF(ISBLANK('[1]Lithium Qualified Studies'!N18),"",'[1]Lithium Qualified Studies'!N18)</f>
        <v/>
      </c>
      <c r="V45" s="8"/>
      <c r="W45" s="9"/>
    </row>
    <row r="46" spans="7:23" x14ac:dyDescent="0.3">
      <c r="G46" s="1" t="str">
        <f t="shared" si="3"/>
        <v/>
      </c>
      <c r="H46" s="3" t="str">
        <f>IF(ISBLANK('[1]Lithium Qualified Studies'!A19),"",'[1]Lithium Qualified Studies'!A19)</f>
        <v/>
      </c>
      <c r="I46" s="3" t="str">
        <f>IF(ISBLANK('[1]Lithium Qualified Studies'!B19),"",'[1]Lithium Qualified Studies'!B19)</f>
        <v/>
      </c>
      <c r="J46" s="3" t="str">
        <f>IF(ISBLANK('[1]Lithium Qualified Studies'!C19),"",'[1]Lithium Qualified Studies'!C19)</f>
        <v/>
      </c>
      <c r="K46" s="3" t="str">
        <f>IF(ISBLANK('[1]Lithium Qualified Studies'!D19),"",'[1]Lithium Qualified Studies'!D19)</f>
        <v/>
      </c>
      <c r="L46" s="3" t="str">
        <f>IF(ISBLANK('[1]Lithium Qualified Studies'!E19),"",'[1]Lithium Qualified Studies'!E19)</f>
        <v/>
      </c>
      <c r="M46" s="3" t="str">
        <f>IF(ISBLANK('[1]Lithium Qualified Studies'!F19),"",'[1]Lithium Qualified Studies'!F19)</f>
        <v/>
      </c>
      <c r="N46" s="3" t="str">
        <f>IF(ISBLANK('[1]Lithium Qualified Studies'!G19),"",'[1]Lithium Qualified Studies'!G19)</f>
        <v/>
      </c>
      <c r="O46" s="3" t="str">
        <f>IF(ISBLANK('[1]Lithium Qualified Studies'!H19),"",'[1]Lithium Qualified Studies'!H19)</f>
        <v/>
      </c>
      <c r="P46" s="3" t="str">
        <f>IF(ISBLANK('[1]Lithium Qualified Studies'!I19),"",'[1]Lithium Qualified Studies'!I19)</f>
        <v/>
      </c>
      <c r="Q46" s="3" t="str">
        <f>IF(ISBLANK('[1]Lithium Qualified Studies'!J19),"",'[1]Lithium Qualified Studies'!J19)</f>
        <v/>
      </c>
      <c r="R46" s="3" t="str">
        <f>IF(ISBLANK('[1]Lithium Qualified Studies'!K19),"",'[1]Lithium Qualified Studies'!K19)</f>
        <v/>
      </c>
      <c r="S46" s="3" t="str">
        <f>IF(ISBLANK('[1]Lithium Qualified Studies'!L19),"",'[1]Lithium Qualified Studies'!L19)</f>
        <v/>
      </c>
      <c r="T46" s="3" t="str">
        <f>IF(ISBLANK('[1]Lithium Qualified Studies'!M19),"",'[1]Lithium Qualified Studies'!M19)</f>
        <v/>
      </c>
      <c r="U46" s="3" t="str">
        <f>IF(ISBLANK('[1]Lithium Qualified Studies'!N19),"",'[1]Lithium Qualified Studies'!N19)</f>
        <v/>
      </c>
      <c r="V46" s="8"/>
      <c r="W46" s="9"/>
    </row>
    <row r="47" spans="7:23" x14ac:dyDescent="0.3">
      <c r="G47" s="1" t="str">
        <f t="shared" si="3"/>
        <v/>
      </c>
      <c r="H47" s="3" t="str">
        <f>IF(ISBLANK('[1]Lithium Qualified Studies'!A20),"",'[1]Lithium Qualified Studies'!A20)</f>
        <v/>
      </c>
      <c r="I47" s="3" t="str">
        <f>IF(ISBLANK('[1]Lithium Qualified Studies'!B20),"",'[1]Lithium Qualified Studies'!B20)</f>
        <v/>
      </c>
      <c r="J47" s="3" t="str">
        <f>IF(ISBLANK('[1]Lithium Qualified Studies'!C20),"",'[1]Lithium Qualified Studies'!C20)</f>
        <v/>
      </c>
      <c r="K47" s="3" t="str">
        <f>IF(ISBLANK('[1]Lithium Qualified Studies'!D20),"",'[1]Lithium Qualified Studies'!D20)</f>
        <v/>
      </c>
      <c r="L47" s="3" t="str">
        <f>IF(ISBLANK('[1]Lithium Qualified Studies'!E20),"",'[1]Lithium Qualified Studies'!E20)</f>
        <v/>
      </c>
      <c r="M47" s="3" t="str">
        <f>IF(ISBLANK('[1]Lithium Qualified Studies'!F20),"",'[1]Lithium Qualified Studies'!F20)</f>
        <v/>
      </c>
      <c r="N47" s="3" t="str">
        <f>IF(ISBLANK('[1]Lithium Qualified Studies'!G20),"",'[1]Lithium Qualified Studies'!G20)</f>
        <v/>
      </c>
      <c r="O47" s="3" t="str">
        <f>IF(ISBLANK('[1]Lithium Qualified Studies'!H20),"",'[1]Lithium Qualified Studies'!H20)</f>
        <v/>
      </c>
      <c r="P47" s="3" t="str">
        <f>IF(ISBLANK('[1]Lithium Qualified Studies'!I20),"",'[1]Lithium Qualified Studies'!I20)</f>
        <v/>
      </c>
      <c r="Q47" s="3" t="str">
        <f>IF(ISBLANK('[1]Lithium Qualified Studies'!J20),"",'[1]Lithium Qualified Studies'!J20)</f>
        <v/>
      </c>
      <c r="R47" s="3" t="str">
        <f>IF(ISBLANK('[1]Lithium Qualified Studies'!K20),"",'[1]Lithium Qualified Studies'!K20)</f>
        <v/>
      </c>
      <c r="S47" s="3" t="str">
        <f>IF(ISBLANK('[1]Lithium Qualified Studies'!L20),"",'[1]Lithium Qualified Studies'!L20)</f>
        <v/>
      </c>
      <c r="T47" s="3" t="str">
        <f>IF(ISBLANK('[1]Lithium Qualified Studies'!M20),"",'[1]Lithium Qualified Studies'!M20)</f>
        <v/>
      </c>
      <c r="U47" s="3" t="str">
        <f>IF(ISBLANK('[1]Lithium Qualified Studies'!N20),"",'[1]Lithium Qualified Studies'!N20)</f>
        <v/>
      </c>
      <c r="V47" s="8"/>
      <c r="W47" s="9"/>
    </row>
    <row r="48" spans="7:23" x14ac:dyDescent="0.3">
      <c r="G48" s="1" t="str">
        <f t="shared" si="3"/>
        <v/>
      </c>
      <c r="H48" s="3" t="str">
        <f>IF(ISBLANK('[1]Lithium Qualified Studies'!A21),"",'[1]Lithium Qualified Studies'!A21)</f>
        <v/>
      </c>
      <c r="I48" s="3" t="str">
        <f>IF(ISBLANK('[1]Lithium Qualified Studies'!B21),"",'[1]Lithium Qualified Studies'!B21)</f>
        <v/>
      </c>
      <c r="J48" s="3" t="str">
        <f>IF(ISBLANK('[1]Lithium Qualified Studies'!C21),"",'[1]Lithium Qualified Studies'!C21)</f>
        <v/>
      </c>
      <c r="K48" s="3" t="str">
        <f>IF(ISBLANK('[1]Lithium Qualified Studies'!D21),"",'[1]Lithium Qualified Studies'!D21)</f>
        <v/>
      </c>
      <c r="L48" s="3" t="str">
        <f>IF(ISBLANK('[1]Lithium Qualified Studies'!E21),"",'[1]Lithium Qualified Studies'!E21)</f>
        <v/>
      </c>
      <c r="M48" s="3" t="str">
        <f>IF(ISBLANK('[1]Lithium Qualified Studies'!F21),"",'[1]Lithium Qualified Studies'!F21)</f>
        <v/>
      </c>
      <c r="N48" s="3" t="str">
        <f>IF(ISBLANK('[1]Lithium Qualified Studies'!G21),"",'[1]Lithium Qualified Studies'!G21)</f>
        <v/>
      </c>
      <c r="O48" s="3" t="str">
        <f>IF(ISBLANK('[1]Lithium Qualified Studies'!H21),"",'[1]Lithium Qualified Studies'!H21)</f>
        <v/>
      </c>
      <c r="P48" s="3" t="str">
        <f>IF(ISBLANK('[1]Lithium Qualified Studies'!I21),"",'[1]Lithium Qualified Studies'!I21)</f>
        <v/>
      </c>
      <c r="Q48" s="3" t="str">
        <f>IF(ISBLANK('[1]Lithium Qualified Studies'!J21),"",'[1]Lithium Qualified Studies'!J21)</f>
        <v/>
      </c>
      <c r="R48" s="3" t="str">
        <f>IF(ISBLANK('[1]Lithium Qualified Studies'!K21),"",'[1]Lithium Qualified Studies'!K21)</f>
        <v/>
      </c>
      <c r="S48" s="3" t="str">
        <f>IF(ISBLANK('[1]Lithium Qualified Studies'!L21),"",'[1]Lithium Qualified Studies'!L21)</f>
        <v/>
      </c>
      <c r="T48" s="3" t="str">
        <f>IF(ISBLANK('[1]Lithium Qualified Studies'!M21),"",'[1]Lithium Qualified Studies'!M21)</f>
        <v/>
      </c>
      <c r="U48" s="3" t="str">
        <f>IF(ISBLANK('[1]Lithium Qualified Studies'!N21),"",'[1]Lithium Qualified Studies'!N21)</f>
        <v/>
      </c>
      <c r="V48" s="8"/>
      <c r="W48" s="9"/>
    </row>
  </sheetData>
  <mergeCells count="8">
    <mergeCell ref="W29:W33"/>
    <mergeCell ref="A1:F1"/>
    <mergeCell ref="H2:K2"/>
    <mergeCell ref="M2:P2"/>
    <mergeCell ref="R2:U2"/>
    <mergeCell ref="W2:Z2"/>
    <mergeCell ref="H27:U27"/>
    <mergeCell ref="V27:W27"/>
  </mergeCells>
  <conditionalFormatting sqref="G1:G1048576">
    <cfRule type="containsText" dxfId="4" priority="1" operator="containsText" text="ERROR">
      <formula>NOT(ISERROR(SEARCH("ERROR",G1)))</formula>
    </cfRule>
  </conditionalFormatting>
  <pageMargins left="0.7" right="0.7" top="0.78740157499999996" bottom="0.78740157499999996"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3866A-E07E-430D-B0EB-D4D4CDD0CC7F}">
  <dimension ref="A1:Z48"/>
  <sheetViews>
    <sheetView zoomScale="70" zoomScaleNormal="70" workbookViewId="0">
      <selection sqref="A1:F1"/>
    </sheetView>
  </sheetViews>
  <sheetFormatPr defaultColWidth="10.6640625" defaultRowHeight="14.4" x14ac:dyDescent="0.3"/>
  <cols>
    <col min="1" max="1" width="30.21875" style="45" customWidth="1"/>
    <col min="2" max="2" width="18.109375" style="45" customWidth="1"/>
    <col min="3" max="3" width="16.88671875" style="45" customWidth="1"/>
    <col min="4" max="4" width="16.21875" style="45" customWidth="1"/>
    <col min="5" max="5" width="29.109375" style="6" customWidth="1"/>
    <col min="6" max="6" width="28.5546875" style="6" customWidth="1"/>
    <col min="7" max="7" width="9.109375" style="1" customWidth="1"/>
    <col min="8" max="21" width="10.6640625" style="6"/>
    <col min="22" max="22" width="13" style="6" customWidth="1"/>
    <col min="23" max="23" width="20.44140625" style="6" customWidth="1"/>
    <col min="24" max="16384" width="10.6640625" style="6"/>
  </cols>
  <sheetData>
    <row r="1" spans="1:26" x14ac:dyDescent="0.3">
      <c r="A1" s="85" t="s">
        <v>107</v>
      </c>
      <c r="B1" s="85"/>
      <c r="C1" s="85"/>
      <c r="D1" s="85"/>
      <c r="E1" s="85"/>
      <c r="F1" s="85"/>
      <c r="H1" s="10" t="s">
        <v>103</v>
      </c>
      <c r="I1" s="5"/>
      <c r="J1" s="5"/>
      <c r="K1" s="5"/>
      <c r="L1" s="5"/>
      <c r="M1" s="5"/>
      <c r="N1" s="8"/>
      <c r="O1" s="8"/>
      <c r="P1" s="8"/>
      <c r="Q1" s="45"/>
    </row>
    <row r="2" spans="1:26" x14ac:dyDescent="0.3">
      <c r="A2" s="2" t="s">
        <v>33</v>
      </c>
      <c r="B2" s="2" t="s">
        <v>22</v>
      </c>
      <c r="C2" s="2" t="s">
        <v>6</v>
      </c>
      <c r="D2" s="2" t="s">
        <v>31</v>
      </c>
      <c r="E2" s="2" t="s">
        <v>10</v>
      </c>
      <c r="F2" s="2" t="s">
        <v>140</v>
      </c>
      <c r="H2" s="93" t="s">
        <v>14</v>
      </c>
      <c r="I2" s="94"/>
      <c r="J2" s="94"/>
      <c r="K2" s="95"/>
      <c r="L2" s="9"/>
      <c r="M2" s="93" t="s">
        <v>29</v>
      </c>
      <c r="N2" s="94"/>
      <c r="O2" s="94"/>
      <c r="P2" s="95"/>
      <c r="R2" s="114"/>
      <c r="S2" s="114"/>
      <c r="T2" s="114"/>
      <c r="U2" s="114"/>
      <c r="W2" s="114"/>
      <c r="X2" s="114"/>
      <c r="Y2" s="114"/>
      <c r="Z2" s="114"/>
    </row>
    <row r="3" spans="1:26" x14ac:dyDescent="0.3">
      <c r="A3" s="14" t="str">
        <f>H2</f>
        <v>Jiang,  2020</v>
      </c>
      <c r="B3" s="18">
        <f>K20</f>
        <v>0.25486294416243616</v>
      </c>
      <c r="C3" s="18">
        <f>K21</f>
        <v>0.9079492385786796</v>
      </c>
      <c r="D3" s="18">
        <f>K22</f>
        <v>11.150253807106601</v>
      </c>
      <c r="E3" s="18">
        <f>K23</f>
        <v>3.3769340101522833</v>
      </c>
      <c r="F3" s="18">
        <f>K24</f>
        <v>15.69</v>
      </c>
      <c r="H3" s="19" t="s">
        <v>12</v>
      </c>
      <c r="I3" s="9">
        <v>15.69</v>
      </c>
      <c r="J3" s="9" t="s">
        <v>13</v>
      </c>
      <c r="K3" s="20"/>
      <c r="L3" s="9"/>
      <c r="M3" s="19" t="s">
        <v>12</v>
      </c>
      <c r="N3" s="21">
        <f>P13</f>
        <v>20.403439153439098</v>
      </c>
      <c r="O3" s="9" t="s">
        <v>13</v>
      </c>
      <c r="P3" s="20"/>
      <c r="R3" s="1"/>
      <c r="S3" s="1"/>
      <c r="T3" s="1"/>
      <c r="U3" s="1"/>
      <c r="W3" s="1"/>
      <c r="X3" s="70"/>
      <c r="Y3" s="1"/>
      <c r="Z3" s="1"/>
    </row>
    <row r="4" spans="1:26" x14ac:dyDescent="0.3">
      <c r="A4" s="14" t="str">
        <f>M2</f>
        <v>Kelly, 2021</v>
      </c>
      <c r="B4" s="18">
        <f>P20</f>
        <v>3.6375661375661004</v>
      </c>
      <c r="C4" s="18">
        <f>P21</f>
        <v>6.6137566137598469E-2</v>
      </c>
      <c r="D4" s="18">
        <f>P22</f>
        <v>16.6997354497354</v>
      </c>
      <c r="E4" s="18">
        <f>P23</f>
        <v>0</v>
      </c>
      <c r="F4" s="18">
        <f>P24</f>
        <v>20.403439153439098</v>
      </c>
      <c r="H4" s="19"/>
      <c r="I4" s="9"/>
      <c r="J4" s="9"/>
      <c r="K4" s="20"/>
      <c r="L4" s="9"/>
      <c r="M4" s="19"/>
      <c r="N4" s="9"/>
      <c r="O4" s="9"/>
      <c r="P4" s="20"/>
      <c r="R4" s="1"/>
      <c r="S4" s="71"/>
      <c r="T4" s="1"/>
      <c r="U4" s="1"/>
      <c r="W4" s="1"/>
      <c r="Z4" s="1"/>
    </row>
    <row r="5" spans="1:26" ht="57.6" x14ac:dyDescent="0.3">
      <c r="A5" s="14"/>
      <c r="B5" s="18"/>
      <c r="C5" s="18"/>
      <c r="D5" s="18"/>
      <c r="E5" s="18"/>
      <c r="F5" s="18"/>
      <c r="H5" s="36" t="s">
        <v>17</v>
      </c>
      <c r="I5" s="5" t="s">
        <v>18</v>
      </c>
      <c r="J5" s="5" t="s">
        <v>15</v>
      </c>
      <c r="K5" s="54" t="s">
        <v>16</v>
      </c>
      <c r="L5" s="5"/>
      <c r="M5" s="36" t="s">
        <v>17</v>
      </c>
      <c r="N5" s="5" t="s">
        <v>18</v>
      </c>
      <c r="O5" s="5" t="s">
        <v>15</v>
      </c>
      <c r="P5" s="54" t="s">
        <v>16</v>
      </c>
      <c r="R5" s="35"/>
      <c r="S5" s="35"/>
      <c r="T5" s="35"/>
      <c r="U5" s="35"/>
      <c r="W5" s="35"/>
      <c r="X5" s="35"/>
      <c r="Y5" s="35"/>
      <c r="Z5" s="35"/>
    </row>
    <row r="6" spans="1:26" x14ac:dyDescent="0.3">
      <c r="A6" s="14"/>
      <c r="B6" s="18"/>
      <c r="C6" s="18"/>
      <c r="D6" s="18"/>
      <c r="E6" s="18"/>
      <c r="F6" s="18"/>
      <c r="H6" s="19" t="s">
        <v>5</v>
      </c>
      <c r="I6" s="9" t="s">
        <v>22</v>
      </c>
      <c r="J6" s="26">
        <v>1.6243654822335002E-2</v>
      </c>
      <c r="K6" s="34">
        <f>J6*$I$3</f>
        <v>0.25486294416243616</v>
      </c>
      <c r="L6" s="9"/>
      <c r="M6" s="19" t="s">
        <v>23</v>
      </c>
      <c r="N6" s="9" t="s">
        <v>31</v>
      </c>
      <c r="O6" s="26">
        <f>P6/$P$13</f>
        <v>0.73581847649919097</v>
      </c>
      <c r="P6" s="34">
        <v>15.0132275132275</v>
      </c>
      <c r="R6" s="1"/>
      <c r="S6" s="1"/>
      <c r="T6" s="31"/>
      <c r="U6" s="30"/>
      <c r="W6" s="1"/>
      <c r="X6" s="1"/>
      <c r="Y6" s="31"/>
      <c r="Z6" s="30"/>
    </row>
    <row r="7" spans="1:26" x14ac:dyDescent="0.3">
      <c r="A7" s="28"/>
      <c r="B7" s="28"/>
      <c r="C7" s="28"/>
      <c r="D7" s="28"/>
      <c r="E7" s="14"/>
      <c r="F7" s="14"/>
      <c r="H7" s="19" t="s">
        <v>6</v>
      </c>
      <c r="I7" s="9" t="s">
        <v>6</v>
      </c>
      <c r="J7" s="26">
        <v>5.7868020304568495E-2</v>
      </c>
      <c r="K7" s="34">
        <f t="shared" ref="K7:K15" si="0">J7*$I$3</f>
        <v>0.9079492385786796</v>
      </c>
      <c r="L7" s="9"/>
      <c r="M7" s="19" t="s">
        <v>24</v>
      </c>
      <c r="N7" s="9" t="s">
        <v>31</v>
      </c>
      <c r="O7" s="26">
        <f t="shared" ref="O7:O12" si="1">P7/$P$13</f>
        <v>7.455429497568794E-2</v>
      </c>
      <c r="P7" s="34">
        <v>1.5211640211639992</v>
      </c>
      <c r="R7" s="1"/>
      <c r="S7" s="1"/>
      <c r="T7" s="31"/>
      <c r="U7" s="30"/>
      <c r="W7" s="1"/>
      <c r="X7" s="1"/>
      <c r="Y7" s="31"/>
      <c r="Z7" s="30"/>
    </row>
    <row r="8" spans="1:26" x14ac:dyDescent="0.3">
      <c r="A8" s="14"/>
      <c r="B8" s="14"/>
      <c r="C8" s="14"/>
      <c r="D8" s="14"/>
      <c r="E8" s="14"/>
      <c r="F8" s="14"/>
      <c r="H8" s="19" t="s">
        <v>19</v>
      </c>
      <c r="I8" s="9" t="s">
        <v>31</v>
      </c>
      <c r="J8" s="26">
        <v>0.17055837563451753</v>
      </c>
      <c r="K8" s="34">
        <f t="shared" si="0"/>
        <v>2.6760609137055802</v>
      </c>
      <c r="L8" s="9"/>
      <c r="M8" s="19" t="s">
        <v>25</v>
      </c>
      <c r="N8" s="9" t="s">
        <v>31</v>
      </c>
      <c r="O8" s="26">
        <f t="shared" si="1"/>
        <v>3.2414910858962315E-3</v>
      </c>
      <c r="P8" s="34">
        <v>6.6137566137498993E-2</v>
      </c>
      <c r="R8" s="1"/>
      <c r="S8" s="1"/>
      <c r="T8" s="31"/>
      <c r="U8" s="30"/>
      <c r="W8" s="1"/>
      <c r="X8" s="1"/>
      <c r="Y8" s="31"/>
      <c r="Z8" s="30"/>
    </row>
    <row r="9" spans="1:26" x14ac:dyDescent="0.3">
      <c r="A9" s="14"/>
      <c r="B9" s="14"/>
      <c r="C9" s="14"/>
      <c r="D9" s="14"/>
      <c r="E9" s="14"/>
      <c r="F9" s="14"/>
      <c r="H9" s="19" t="s">
        <v>7</v>
      </c>
      <c r="I9" s="9" t="s">
        <v>31</v>
      </c>
      <c r="J9" s="26">
        <v>8.730964467005102E-2</v>
      </c>
      <c r="K9" s="34">
        <f t="shared" si="0"/>
        <v>1.3698883248731004</v>
      </c>
      <c r="L9" s="9"/>
      <c r="M9" s="19" t="s">
        <v>26</v>
      </c>
      <c r="N9" s="9" t="s">
        <v>31</v>
      </c>
      <c r="O9" s="26">
        <f t="shared" si="1"/>
        <v>1.6207455429507276E-3</v>
      </c>
      <c r="P9" s="34">
        <v>3.3068783068802787E-2</v>
      </c>
      <c r="R9" s="1"/>
      <c r="S9" s="1"/>
      <c r="T9" s="31"/>
      <c r="U9" s="30"/>
      <c r="W9" s="1"/>
      <c r="X9" s="1"/>
      <c r="Y9" s="31"/>
      <c r="Z9" s="30"/>
    </row>
    <row r="10" spans="1:26" x14ac:dyDescent="0.3">
      <c r="A10" s="28"/>
      <c r="B10" s="28"/>
      <c r="C10" s="28"/>
      <c r="D10" s="28"/>
      <c r="E10" s="14"/>
      <c r="F10" s="14"/>
      <c r="H10" s="19" t="s">
        <v>4</v>
      </c>
      <c r="I10" s="9" t="s">
        <v>31</v>
      </c>
      <c r="J10" s="26">
        <v>0.24365482233502497</v>
      </c>
      <c r="K10" s="34">
        <f t="shared" si="0"/>
        <v>3.8229441624365417</v>
      </c>
      <c r="L10" s="9"/>
      <c r="M10" s="19" t="s">
        <v>27</v>
      </c>
      <c r="N10" s="9" t="s">
        <v>31</v>
      </c>
      <c r="O10" s="26">
        <f t="shared" si="1"/>
        <v>3.241491085901107E-3</v>
      </c>
      <c r="P10" s="34">
        <v>6.6137566137598469E-2</v>
      </c>
      <c r="R10" s="1"/>
      <c r="S10" s="1"/>
      <c r="T10" s="31"/>
      <c r="U10" s="30"/>
      <c r="W10" s="1"/>
      <c r="X10" s="1"/>
      <c r="Y10" s="31"/>
      <c r="Z10" s="30"/>
    </row>
    <row r="11" spans="1:26" x14ac:dyDescent="0.3">
      <c r="A11" s="28"/>
      <c r="B11" s="28"/>
      <c r="C11" s="28"/>
      <c r="D11" s="28"/>
      <c r="E11" s="14"/>
      <c r="F11" s="14"/>
      <c r="H11" s="19" t="s">
        <v>8</v>
      </c>
      <c r="I11" s="9" t="s">
        <v>31</v>
      </c>
      <c r="J11" s="26">
        <v>3.0456852791878007E-2</v>
      </c>
      <c r="K11" s="34">
        <f t="shared" si="0"/>
        <v>0.47786802030456593</v>
      </c>
      <c r="L11" s="9"/>
      <c r="M11" s="19" t="s">
        <v>28</v>
      </c>
      <c r="N11" s="9" t="s">
        <v>22</v>
      </c>
      <c r="O11" s="26">
        <f t="shared" si="1"/>
        <v>0.17828200972447192</v>
      </c>
      <c r="P11" s="34">
        <v>3.6375661375661004</v>
      </c>
      <c r="R11" s="1"/>
      <c r="S11" s="1"/>
      <c r="T11" s="31"/>
      <c r="U11" s="30"/>
      <c r="W11" s="1"/>
      <c r="X11" s="1"/>
      <c r="Y11" s="31"/>
      <c r="Z11" s="30"/>
    </row>
    <row r="12" spans="1:26" x14ac:dyDescent="0.3">
      <c r="A12" s="28"/>
      <c r="B12" s="28"/>
      <c r="C12" s="28"/>
      <c r="D12" s="28"/>
      <c r="E12" s="14"/>
      <c r="F12" s="14"/>
      <c r="H12" s="19" t="s">
        <v>9</v>
      </c>
      <c r="I12" s="9" t="s">
        <v>31</v>
      </c>
      <c r="J12" s="26">
        <v>3.9593908629441968E-2</v>
      </c>
      <c r="K12" s="34">
        <f t="shared" si="0"/>
        <v>0.62122842639594444</v>
      </c>
      <c r="L12" s="9"/>
      <c r="M12" s="19" t="s">
        <v>3</v>
      </c>
      <c r="N12" s="9" t="s">
        <v>6</v>
      </c>
      <c r="O12" s="26">
        <f t="shared" si="1"/>
        <v>3.241491085901107E-3</v>
      </c>
      <c r="P12" s="34">
        <v>6.6137566137598469E-2</v>
      </c>
      <c r="R12" s="1"/>
      <c r="S12" s="1"/>
      <c r="T12" s="31"/>
      <c r="U12" s="30"/>
      <c r="W12" s="1"/>
      <c r="X12" s="1"/>
      <c r="Y12" s="31"/>
      <c r="Z12" s="30"/>
    </row>
    <row r="13" spans="1:26" x14ac:dyDescent="0.3">
      <c r="A13" s="28"/>
      <c r="B13" s="28"/>
      <c r="C13" s="28"/>
      <c r="D13" s="28"/>
      <c r="E13" s="14"/>
      <c r="F13" s="14"/>
      <c r="H13" s="19" t="s">
        <v>20</v>
      </c>
      <c r="I13" s="9" t="s">
        <v>10</v>
      </c>
      <c r="J13" s="26">
        <v>3.2487309644670004E-2</v>
      </c>
      <c r="K13" s="34">
        <f t="shared" si="0"/>
        <v>0.50972588832487231</v>
      </c>
      <c r="L13" s="9"/>
      <c r="M13" s="19"/>
      <c r="N13" s="9" t="s">
        <v>32</v>
      </c>
      <c r="O13" s="57">
        <f>SUM(O6:O12)</f>
        <v>1.0000000000000002</v>
      </c>
      <c r="P13" s="34">
        <f>SUM(P6:P12)</f>
        <v>20.403439153439098</v>
      </c>
      <c r="R13" s="1"/>
      <c r="S13" s="1"/>
      <c r="T13" s="31"/>
      <c r="U13" s="30"/>
      <c r="W13" s="1"/>
      <c r="X13" s="1"/>
      <c r="Y13" s="31"/>
      <c r="Z13" s="30"/>
    </row>
    <row r="14" spans="1:26" x14ac:dyDescent="0.3">
      <c r="A14" s="28"/>
      <c r="B14" s="28"/>
      <c r="C14" s="28"/>
      <c r="D14" s="28"/>
      <c r="E14" s="14"/>
      <c r="F14" s="14"/>
      <c r="H14" s="19" t="s">
        <v>11</v>
      </c>
      <c r="I14" s="9" t="s">
        <v>10</v>
      </c>
      <c r="J14" s="26">
        <v>0.18274111675126903</v>
      </c>
      <c r="K14" s="34">
        <f t="shared" si="0"/>
        <v>2.867208121827411</v>
      </c>
      <c r="L14" s="9"/>
      <c r="M14" s="19"/>
      <c r="N14" s="9"/>
      <c r="O14" s="9"/>
      <c r="P14" s="20"/>
      <c r="R14" s="1"/>
      <c r="S14" s="1"/>
      <c r="T14" s="31"/>
      <c r="U14" s="30"/>
      <c r="W14" s="1"/>
      <c r="X14" s="1"/>
      <c r="Y14" s="31"/>
      <c r="Z14" s="30"/>
    </row>
    <row r="15" spans="1:26" x14ac:dyDescent="0.3">
      <c r="A15" s="28"/>
      <c r="B15" s="28"/>
      <c r="C15" s="28"/>
      <c r="D15" s="28"/>
      <c r="E15" s="14"/>
      <c r="F15" s="14"/>
      <c r="H15" s="19" t="s">
        <v>21</v>
      </c>
      <c r="I15" s="9" t="s">
        <v>31</v>
      </c>
      <c r="J15" s="26">
        <v>0.13908629441624398</v>
      </c>
      <c r="K15" s="34">
        <f t="shared" si="0"/>
        <v>2.1822639593908679</v>
      </c>
      <c r="L15" s="9"/>
      <c r="M15" s="19"/>
      <c r="N15" s="9"/>
      <c r="O15" s="9"/>
      <c r="P15" s="20"/>
      <c r="R15" s="1"/>
      <c r="S15" s="1"/>
      <c r="T15" s="31"/>
      <c r="U15" s="30"/>
      <c r="W15" s="1"/>
      <c r="X15" s="1"/>
      <c r="Y15" s="31"/>
      <c r="Z15" s="30"/>
    </row>
    <row r="16" spans="1:26" x14ac:dyDescent="0.3">
      <c r="A16" s="28"/>
      <c r="B16" s="28"/>
      <c r="C16" s="28"/>
      <c r="D16" s="28"/>
      <c r="E16" s="14"/>
      <c r="F16" s="14"/>
      <c r="H16" s="19"/>
      <c r="I16" s="9" t="s">
        <v>32</v>
      </c>
      <c r="J16" s="26">
        <f>SUM(J6:J15)</f>
        <v>1</v>
      </c>
      <c r="K16" s="20">
        <f>SUM(K6:K15)</f>
        <v>15.69</v>
      </c>
      <c r="L16" s="9"/>
      <c r="M16" s="19"/>
      <c r="N16" s="9"/>
      <c r="O16" s="9"/>
      <c r="P16" s="20"/>
      <c r="R16" s="1"/>
      <c r="S16" s="1"/>
      <c r="T16" s="31"/>
      <c r="U16" s="30"/>
      <c r="W16" s="1"/>
      <c r="X16" s="1"/>
      <c r="Y16" s="31"/>
      <c r="Z16" s="30"/>
    </row>
    <row r="17" spans="1:26" x14ac:dyDescent="0.3">
      <c r="A17" s="28"/>
      <c r="B17" s="28"/>
      <c r="C17" s="28"/>
      <c r="D17" s="28"/>
      <c r="E17" s="14"/>
      <c r="F17" s="14"/>
      <c r="H17" s="19"/>
      <c r="I17" s="9"/>
      <c r="J17" s="26"/>
      <c r="K17" s="20"/>
      <c r="L17" s="9"/>
      <c r="M17" s="19"/>
      <c r="N17" s="9"/>
      <c r="O17" s="9"/>
      <c r="P17" s="20"/>
      <c r="R17" s="1"/>
      <c r="S17" s="1"/>
      <c r="T17" s="31"/>
      <c r="U17" s="1"/>
      <c r="W17" s="1"/>
      <c r="X17" s="1"/>
      <c r="Y17" s="31"/>
      <c r="Z17" s="1"/>
    </row>
    <row r="18" spans="1:26" x14ac:dyDescent="0.3">
      <c r="A18" s="28"/>
      <c r="B18" s="28"/>
      <c r="C18" s="28"/>
      <c r="D18" s="28"/>
      <c r="E18" s="14"/>
      <c r="F18" s="14"/>
      <c r="H18" s="19"/>
      <c r="I18" s="9"/>
      <c r="J18" s="9"/>
      <c r="K18" s="20"/>
      <c r="L18" s="9"/>
      <c r="M18" s="19"/>
      <c r="N18" s="9"/>
      <c r="O18" s="9"/>
      <c r="P18" s="20"/>
      <c r="R18" s="1"/>
      <c r="S18" s="1"/>
      <c r="T18" s="1"/>
      <c r="U18" s="1"/>
      <c r="W18" s="1"/>
      <c r="X18" s="1"/>
      <c r="Y18" s="1"/>
      <c r="Z18" s="1"/>
    </row>
    <row r="19" spans="1:26" ht="57.6" x14ac:dyDescent="0.3">
      <c r="A19" s="28"/>
      <c r="B19" s="28"/>
      <c r="C19" s="28"/>
      <c r="D19" s="28"/>
      <c r="E19" s="14"/>
      <c r="F19" s="14"/>
      <c r="H19" s="36"/>
      <c r="I19" s="65" t="s">
        <v>18</v>
      </c>
      <c r="J19" s="66" t="s">
        <v>15</v>
      </c>
      <c r="K19" s="72" t="s">
        <v>16</v>
      </c>
      <c r="L19" s="5"/>
      <c r="M19" s="36"/>
      <c r="N19" s="65" t="s">
        <v>18</v>
      </c>
      <c r="O19" s="66" t="s">
        <v>15</v>
      </c>
      <c r="P19" s="72" t="s">
        <v>16</v>
      </c>
      <c r="S19" s="35"/>
      <c r="T19" s="35"/>
      <c r="U19" s="35"/>
      <c r="X19" s="35"/>
      <c r="Y19" s="35"/>
      <c r="Z19" s="35"/>
    </row>
    <row r="20" spans="1:26" x14ac:dyDescent="0.3">
      <c r="A20" s="28"/>
      <c r="B20" s="28"/>
      <c r="C20" s="28"/>
      <c r="D20" s="28"/>
      <c r="E20" s="14"/>
      <c r="F20" s="14"/>
      <c r="H20" s="19"/>
      <c r="I20" s="19" t="s">
        <v>22</v>
      </c>
      <c r="J20" s="41">
        <f>SUMIF(I$6:I$15, I20, J$6:J$15)</f>
        <v>1.6243654822335002E-2</v>
      </c>
      <c r="K20" s="34">
        <f>SUMIF(I$6:I$15, I20, K$6:K$15)</f>
        <v>0.25486294416243616</v>
      </c>
      <c r="L20" s="9"/>
      <c r="M20" s="19"/>
      <c r="N20" s="19" t="s">
        <v>22</v>
      </c>
      <c r="O20" s="41">
        <f>SUMIF(N$6:N$15, N20, O$6:O$15)</f>
        <v>0.17828200972447192</v>
      </c>
      <c r="P20" s="34">
        <f>SUMIF(N$6:N$15, N20, P$6:P$15)</f>
        <v>3.6375661375661004</v>
      </c>
      <c r="R20" s="1"/>
      <c r="S20" s="1"/>
      <c r="T20" s="40"/>
      <c r="U20" s="30"/>
      <c r="W20" s="1"/>
      <c r="X20" s="1"/>
      <c r="Y20" s="40"/>
      <c r="Z20" s="30"/>
    </row>
    <row r="21" spans="1:26" x14ac:dyDescent="0.3">
      <c r="A21" s="28"/>
      <c r="B21" s="28"/>
      <c r="C21" s="28"/>
      <c r="D21" s="28"/>
      <c r="E21" s="14"/>
      <c r="F21" s="14"/>
      <c r="H21" s="19"/>
      <c r="I21" s="19" t="s">
        <v>6</v>
      </c>
      <c r="J21" s="41">
        <f t="shared" ref="J21:J23" si="2">SUMIF(I$6:I$15, I21, J$6:J$15)</f>
        <v>5.7868020304568495E-2</v>
      </c>
      <c r="K21" s="34">
        <f t="shared" ref="K21:K23" si="3">SUMIF(I$6:I$15, I21, K$6:K$15)</f>
        <v>0.9079492385786796</v>
      </c>
      <c r="L21" s="9"/>
      <c r="M21" s="19"/>
      <c r="N21" s="19" t="s">
        <v>6</v>
      </c>
      <c r="O21" s="41">
        <f t="shared" ref="O21:O23" si="4">SUMIF(N$6:N$15, N21, O$6:O$15)</f>
        <v>3.241491085901107E-3</v>
      </c>
      <c r="P21" s="34">
        <f t="shared" ref="P21:P23" si="5">SUMIF(N$6:N$15, N21, P$6:P$15)</f>
        <v>6.6137566137598469E-2</v>
      </c>
      <c r="R21" s="1"/>
      <c r="S21" s="1"/>
      <c r="T21" s="40"/>
      <c r="U21" s="30"/>
      <c r="W21" s="1"/>
      <c r="X21" s="1"/>
      <c r="Y21" s="40"/>
      <c r="Z21" s="30"/>
    </row>
    <row r="22" spans="1:26" x14ac:dyDescent="0.3">
      <c r="A22" s="28"/>
      <c r="B22" s="28"/>
      <c r="C22" s="28"/>
      <c r="D22" s="28"/>
      <c r="E22" s="14"/>
      <c r="F22" s="14"/>
      <c r="H22" s="19"/>
      <c r="I22" s="19" t="s">
        <v>31</v>
      </c>
      <c r="J22" s="41">
        <f t="shared" si="2"/>
        <v>0.7106598984771576</v>
      </c>
      <c r="K22" s="34">
        <f t="shared" si="3"/>
        <v>11.150253807106601</v>
      </c>
      <c r="L22" s="9"/>
      <c r="M22" s="19"/>
      <c r="N22" s="19" t="s">
        <v>31</v>
      </c>
      <c r="O22" s="41">
        <f t="shared" si="4"/>
        <v>0.81847649918962706</v>
      </c>
      <c r="P22" s="34">
        <f t="shared" si="5"/>
        <v>16.6997354497354</v>
      </c>
      <c r="R22" s="1"/>
      <c r="S22" s="1"/>
      <c r="T22" s="40"/>
      <c r="U22" s="30"/>
      <c r="W22" s="1"/>
      <c r="X22" s="1"/>
      <c r="Y22" s="40"/>
      <c r="Z22" s="30"/>
    </row>
    <row r="23" spans="1:26" x14ac:dyDescent="0.3">
      <c r="A23" s="28"/>
      <c r="B23" s="28"/>
      <c r="C23" s="28"/>
      <c r="D23" s="28"/>
      <c r="E23" s="14"/>
      <c r="F23" s="14"/>
      <c r="H23" s="19"/>
      <c r="I23" s="19" t="s">
        <v>10</v>
      </c>
      <c r="J23" s="41">
        <f t="shared" si="2"/>
        <v>0.21522842639593903</v>
      </c>
      <c r="K23" s="34">
        <f t="shared" si="3"/>
        <v>3.3769340101522833</v>
      </c>
      <c r="L23" s="9"/>
      <c r="M23" s="19"/>
      <c r="N23" s="19" t="s">
        <v>10</v>
      </c>
      <c r="O23" s="41">
        <f t="shared" si="4"/>
        <v>0</v>
      </c>
      <c r="P23" s="34">
        <f t="shared" si="5"/>
        <v>0</v>
      </c>
      <c r="R23" s="1"/>
      <c r="S23" s="1"/>
      <c r="T23" s="40"/>
      <c r="U23" s="30"/>
      <c r="W23" s="1"/>
      <c r="X23" s="1"/>
      <c r="Y23" s="40"/>
      <c r="Z23" s="30"/>
    </row>
    <row r="24" spans="1:26" ht="15" customHeight="1" x14ac:dyDescent="0.3">
      <c r="A24" s="28"/>
      <c r="B24" s="28"/>
      <c r="C24" s="28"/>
      <c r="D24" s="28"/>
      <c r="E24" s="14"/>
      <c r="F24" s="14"/>
      <c r="H24" s="42"/>
      <c r="I24" s="42" t="s">
        <v>32</v>
      </c>
      <c r="J24" s="43">
        <f>SUM(J20:J23)</f>
        <v>1.0000000000000002</v>
      </c>
      <c r="K24" s="67">
        <f>SUM(K20:K23)</f>
        <v>15.69</v>
      </c>
      <c r="L24" s="9"/>
      <c r="M24" s="42"/>
      <c r="N24" s="42" t="s">
        <v>32</v>
      </c>
      <c r="O24" s="43">
        <f>SUM(O20:O23)</f>
        <v>1</v>
      </c>
      <c r="P24" s="44">
        <f>SUM(P20:P23)</f>
        <v>20.403439153439098</v>
      </c>
      <c r="R24" s="1"/>
      <c r="S24" s="1"/>
      <c r="T24" s="40"/>
      <c r="U24" s="30"/>
      <c r="W24" s="1"/>
      <c r="X24" s="1"/>
      <c r="Y24" s="40"/>
      <c r="Z24" s="30"/>
    </row>
    <row r="25" spans="1:26" ht="15" customHeight="1" x14ac:dyDescent="0.3">
      <c r="A25" s="28"/>
      <c r="B25" s="28"/>
      <c r="C25" s="28"/>
      <c r="D25" s="28"/>
      <c r="E25" s="14"/>
      <c r="F25" s="14"/>
    </row>
    <row r="26" spans="1:26" ht="15" customHeight="1" x14ac:dyDescent="0.3"/>
    <row r="27" spans="1:26" x14ac:dyDescent="0.3">
      <c r="H27" s="89" t="s">
        <v>139</v>
      </c>
      <c r="I27" s="89"/>
      <c r="J27" s="89"/>
      <c r="K27" s="89"/>
      <c r="L27" s="89"/>
      <c r="M27" s="89"/>
      <c r="N27" s="89"/>
      <c r="O27" s="89"/>
      <c r="P27" s="89"/>
      <c r="Q27" s="89"/>
      <c r="R27" s="89"/>
      <c r="S27" s="89"/>
      <c r="T27" s="89"/>
      <c r="U27" s="89"/>
      <c r="V27" s="115" t="s">
        <v>138</v>
      </c>
      <c r="W27" s="115"/>
      <c r="X27" s="35"/>
      <c r="Y27" s="35"/>
      <c r="Z27" s="35"/>
    </row>
    <row r="28" spans="1:26" ht="28.8" x14ac:dyDescent="0.3">
      <c r="H28" s="3" t="str">
        <f>IF(ISBLANK('[1]Lithium Qualified Studies'!A1),"",'[1]Lithium Qualified Studies'!A1)</f>
        <v>Source</v>
      </c>
      <c r="I28" s="3" t="str">
        <f>IF(ISBLANK('[1]Lithium Qualified Studies'!B1),"",'[1]Lithium Qualified Studies'!B1)</f>
        <v>Title</v>
      </c>
      <c r="J28" s="3" t="str">
        <f>IF(ISBLANK('[1]Lithium Qualified Studies'!C1),"",'[1]Lithium Qualified Studies'!C1)</f>
        <v>Link</v>
      </c>
      <c r="K28" s="3" t="str">
        <f>IF(ISBLANK('[1]Lithium Qualified Studies'!D1),"",'[1]Lithium Qualified Studies'!D1)</f>
        <v>Source type</v>
      </c>
      <c r="L28" s="3" t="str">
        <f>IF(ISBLANK('[1]Lithium Qualified Studies'!E1),"",'[1]Lithium Qualified Studies'!E1)</f>
        <v>Total emissions [kgCO2eq/kg]</v>
      </c>
      <c r="M28" s="3" t="str">
        <f>IF(ISBLANK('[1]Lithium Qualified Studies'!F1),"",'[1]Lithium Qualified Studies'!F1)</f>
        <v>Harmonised emissions [kg CO2eq/kg]</v>
      </c>
      <c r="N28" s="3" t="str">
        <f>IF(ISBLANK('[1]Lithium Qualified Studies'!G1),"",'[1]Lithium Qualified Studies'!G1)</f>
        <v>Primary data?</v>
      </c>
      <c r="O28" s="3" t="str">
        <f>IF(ISBLANK('[1]Lithium Qualified Studies'!H1),"",'[1]Lithium Qualified Studies'!H1)</f>
        <v>Functional unit?</v>
      </c>
      <c r="P28" s="3" t="str">
        <f>IF(ISBLANK('[1]Lithium Qualified Studies'!I1),"",'[1]Lithium Qualified Studies'!I1)</f>
        <v>System boundaries</v>
      </c>
      <c r="Q28" s="3" t="str">
        <f>IF(ISBLANK('[1]Lithium Qualified Studies'!J1),"",'[1]Lithium Qualified Studies'!J1)</f>
        <v>Methodological transparency</v>
      </c>
      <c r="R28" s="3" t="str">
        <f>IF(ISBLANK('[1]Lithium Qualified Studies'!K1),"",'[1]Lithium Qualified Studies'!K1)</f>
        <v>Process / ore type?</v>
      </c>
      <c r="S28" s="3" t="str">
        <f>IF(ISBLANK('[1]Lithium Qualified Studies'!L1),"",'[1]Lithium Qualified Studies'!L1)</f>
        <v>Found via</v>
      </c>
      <c r="T28" s="3" t="str">
        <f>IF(ISBLANK('[1]Lithium Qualified Studies'!M1),"",'[1]Lithium Qualified Studies'!M1)</f>
        <v>Location of production</v>
      </c>
      <c r="U28" s="3" t="str">
        <f>IF(ISBLANK('[1]Lithium Qualified Studies'!N1),"",'[1]Lithium Qualified Studies'!N1)</f>
        <v>Mine</v>
      </c>
      <c r="V28" s="4" t="s">
        <v>110</v>
      </c>
      <c r="W28" s="5" t="s">
        <v>143</v>
      </c>
    </row>
    <row r="29" spans="1:26" ht="19.5" customHeight="1" x14ac:dyDescent="0.3">
      <c r="G29" s="1" t="str">
        <f>IF(H29="Schenker et al. (2022)","","ERROR - check row order of Notion export")</f>
        <v/>
      </c>
      <c r="H29" s="3" t="str">
        <f>IF(ISBLANK('[1]Lithium Qualified Studies'!A2),"",'[1]Lithium Qualified Studies'!A2)</f>
        <v>Schenker et al. (2022)</v>
      </c>
      <c r="I29" s="3" t="str">
        <f>IF(ISBLANK('[1]Lithium Qualified Studies'!B2),"",'[1]Lithium Qualified Studies'!B2)</f>
        <v>Regionalized life cycle assessment of present and future lithium production for Li-ion batteries</v>
      </c>
      <c r="J29" s="3" t="str">
        <f>IF(ISBLANK('[1]Lithium Qualified Studies'!C2),"",'[1]Lithium Qualified Studies'!C2)</f>
        <v>https://doi.org/10.1016/j.resconrec.2022.106611</v>
      </c>
      <c r="K29" s="3" t="str">
        <f>IF(ISBLANK('[1]Lithium Qualified Studies'!D2),"",'[1]Lithium Qualified Studies'!D2)</f>
        <v>Literature</v>
      </c>
      <c r="L29" s="3" t="str">
        <f>IF(ISBLANK('[1]Lithium Qualified Studies'!E2),"",'[1]Lithium Qualified Studies'!E2)</f>
        <v>Salar de Atacama: 3.4 kg CO2eq/kg Li2CO3
Salar de Olaroz: 7.4 kg CO2eq/kg Li2CO3
Chaerhan salt lake: 31.6 kg CO2eq/kg Li2CO3
Salar de Cauchari-Olaroz: 7.7 kg CO2eq/kg Li2CO3 
Salar del Hombre Muerto (North): 8 kg CO2eq/kg Li2CO3</v>
      </c>
      <c r="M29" s="3" t="str">
        <f>IF(ISBLANK('[1]Lithium Qualified Studies'!F2),"",'[1]Lithium Qualified Studies'!F2)</f>
        <v>Salar de Atacama: 3.4 kg CO2eq/kg Li2CO3
Salar de Olaroz: 7.4 kg CO2eq/kg Li2CO3
Chaerhan salt lake: 31.6 kg CO2eq/kg Li2CO3</v>
      </c>
      <c r="N29" s="3" t="str">
        <f>IF(ISBLANK('[1]Lithium Qualified Studies'!G2),"",'[1]Lithium Qualified Studies'!G2)</f>
        <v>No → calculate in- and outputs needed for the production processes from the chemical composition of the brine and the stochiometry and thermodynamics of these processes based on literature review</v>
      </c>
      <c r="O29" s="3" t="str">
        <f>IF(ISBLANK('[1]Lithium Qualified Studies'!H2),"",'[1]Lithium Qualified Studies'!H2)</f>
        <v>1 kg Li2CO3 (battery grade)</v>
      </c>
      <c r="P29" s="3" t="str">
        <f>IF(ISBLANK('[1]Lithium Qualified Studies'!I2),"",'[1]Lithium Qualified Studies'!I2)</f>
        <v xml:space="preserve">cradle-to-gate approach
</v>
      </c>
      <c r="Q29" s="3" t="str">
        <f>IF(ISBLANK('[1]Lithium Qualified Studies'!J2),"",'[1]Lithium Qualified Studies'!J2)</f>
        <v>++ transparent</v>
      </c>
      <c r="R29" s="3" t="str">
        <f>IF(ISBLANK('[1]Lithium Qualified Studies'!K2),"",'[1]Lithium Qualified Studies'!K2)</f>
        <v>Brine, Li2CO3</v>
      </c>
      <c r="S29" s="3" t="str">
        <f>IF(ISBLANK('[1]Lithium Qualified Studies'!L2),"",'[1]Lithium Qualified Studies'!L2)</f>
        <v>Vanessa, systematic lit rev</v>
      </c>
      <c r="T29" s="3" t="str">
        <f>IF(ISBLANK('[1]Lithium Qualified Studies'!M2),"",'[1]Lithium Qualified Studies'!M2)</f>
        <v>Argentina, Chile, China</v>
      </c>
      <c r="U29" s="3" t="str">
        <f>IF(ISBLANK('[1]Lithium Qualified Studies'!N2),"",'[1]Lithium Qualified Studies'!N2)</f>
        <v>Chaerhan Lake, Salar de Atacama, Salar de Cauchari-Olaroz, Salar de Olaroz, Salar del Hombre Muerto</v>
      </c>
      <c r="V29" s="8" t="b">
        <v>0</v>
      </c>
      <c r="W29" s="46" t="s">
        <v>0</v>
      </c>
    </row>
    <row r="30" spans="1:26" ht="19.05" customHeight="1" x14ac:dyDescent="0.3">
      <c r="G30" s="1" t="str">
        <f>IF(H30="Ambrose and Kendall (2019)","","ERROR - check row order of Notion export")</f>
        <v/>
      </c>
      <c r="H30" s="3" t="str">
        <f>IF(ISBLANK('[1]Lithium Qualified Studies'!A3),"",'[1]Lithium Qualified Studies'!A3)</f>
        <v>Ambrose and Kendall (2019)</v>
      </c>
      <c r="I30" s="3" t="str">
        <f>IF(ISBLANK('[1]Lithium Qualified Studies'!B3),"",'[1]Lithium Qualified Studies'!B3)</f>
        <v>Understanding the future of lithium: Part 2, temporally and spatially resolved life-cycle assessment modeling</v>
      </c>
      <c r="J30" s="3" t="str">
        <f>IF(ISBLANK('[1]Lithium Qualified Studies'!C3),"",'[1]Lithium Qualified Studies'!C3)</f>
        <v>https://doi.org/10.1111/jiec.12942</v>
      </c>
      <c r="K30" s="3" t="str">
        <f>IF(ISBLANK('[1]Lithium Qualified Studies'!D3),"",'[1]Lithium Qualified Studies'!D3)</f>
        <v>Literature</v>
      </c>
      <c r="L30" s="3" t="str">
        <f>IF(ISBLANK('[1]Lithium Qualified Studies'!E3),"",'[1]Lithium Qualified Studies'!E3)</f>
        <v>High-grade Pegmatite: 2,282262864 kg CO2eq
Low-grade Pegmatite: 2,67
Low-grade Rock Minerals: 3,32 kg CO2eq
High-grade Brine: 3,06 kg CO2eq
Low-grade Brine: 3,97 kg CO2eq
Low-grade Brine/Unfavorable Conditions: 5,28 kg CO2eq</v>
      </c>
      <c r="M30" s="3" t="str">
        <f>IF(ISBLANK('[1]Lithium Qualified Studies'!F3),"",'[1]Lithium Qualified Studies'!F3)</f>
        <v>High-grade Pegmatite: 2,282262864 kg CO2eq/kg Li2CO3eq
Low-grade Pegmatite: 2,67 kg CO2eq/kg Li2CO3
Low-grade Rock Minerals: 3,32 kg CO2eq/kg Li2CO3
High-grade Brine: 3,06 kg CO2eq/kg Li2CO3
Low-grade Brine: 3,97 kg CO2eq/kg Li2CO3
Low-grade Brine/Unfavorable Conditions: 5,28 kg CO2eq/kg Li2CO3</v>
      </c>
      <c r="N30" s="3" t="str">
        <f>IF(ISBLANK('[1]Lithium Qualified Studies'!G3),"",'[1]Lithium Qualified Studies'!G3)</f>
        <v>No → “Throughput, efficiency, and material and energy inputs are estimated based on company reporting, patents, and prior studies”</v>
      </c>
      <c r="O30" s="3" t="str">
        <f>IF(ISBLANK('[1]Lithium Qualified Studies'!H3),"",'[1]Lithium Qualified Studies'!H3)</f>
        <v>1 kg of battery grade lithium carbonate equivalent (≥99% Li2CO3 by content)</v>
      </c>
      <c r="P30" s="3" t="str">
        <f>IF(ISBLANK('[1]Lithium Qualified Studies'!I3),"",'[1]Lithium Qualified Studies'!I3)</f>
        <v>from mine to processor or refining gate
→ Screenshot</v>
      </c>
      <c r="Q30" s="3" t="str">
        <f>IF(ISBLANK('[1]Lithium Qualified Studies'!J3),"",'[1]Lithium Qualified Studies'!J3)</f>
        <v>- intransparent</v>
      </c>
      <c r="R30" s="3" t="str">
        <f>IF(ISBLANK('[1]Lithium Qualified Studies'!K3),"",'[1]Lithium Qualified Studies'!K3)</f>
        <v>Brine, Li2CO3, Minerals</v>
      </c>
      <c r="S30" s="3" t="str">
        <f>IF(ISBLANK('[1]Lithium Qualified Studies'!L3),"",'[1]Lithium Qualified Studies'!L3)</f>
        <v>Vanessa, systematic lit rev</v>
      </c>
      <c r="T30" s="3" t="str">
        <f>IF(ISBLANK('[1]Lithium Qualified Studies'!M3),"",'[1]Lithium Qualified Studies'!M3)</f>
        <v>Global</v>
      </c>
      <c r="U30" s="3" t="str">
        <f>IF(ISBLANK('[1]Lithium Qualified Studies'!N3),"",'[1]Lithium Qualified Studies'!N3)</f>
        <v/>
      </c>
      <c r="V30" s="8" t="b">
        <v>0</v>
      </c>
      <c r="W30" s="46" t="s">
        <v>1</v>
      </c>
    </row>
    <row r="31" spans="1:26" ht="19.95" customHeight="1" x14ac:dyDescent="0.3">
      <c r="G31" s="1" t="str">
        <f>IF(H31="Kelly et al. (2021)","","ERROR - check row order of Notion export")</f>
        <v/>
      </c>
      <c r="H31" s="3" t="str">
        <f>IF(ISBLANK('[1]Lithium Qualified Studies'!A4),"",'[1]Lithium Qualified Studies'!A4)</f>
        <v>Kelly et al. (2021)</v>
      </c>
      <c r="I31" s="3" t="str">
        <f>IF(ISBLANK('[1]Lithium Qualified Studies'!B4),"",'[1]Lithium Qualified Studies'!B4)</f>
        <v>Energy, greenhouse gas, and water life cycle analysis of lithium carbonate and lithium hydroxide monohydrate from brine and ore resources and their use in lithium ion battery cathodes and lithium ion batteries</v>
      </c>
      <c r="J31" s="3" t="str">
        <f>IF(ISBLANK('[1]Lithium Qualified Studies'!C4),"",'[1]Lithium Qualified Studies'!C4)</f>
        <v>https://doi.org/10.1016/j.resconrec.2021.105762</v>
      </c>
      <c r="K31" s="3" t="str">
        <f>IF(ISBLANK('[1]Lithium Qualified Studies'!D4),"",'[1]Lithium Qualified Studies'!D4)</f>
        <v>Literature</v>
      </c>
      <c r="L31" s="3" t="str">
        <f>IF(ISBLANK('[1]Lithium Qualified Studies'!E4),"",'[1]Lithium Qualified Studies'!E4)</f>
        <v>They report values for Li2CO3 and LiOH•H2O from brine with 4 allocation methods and from ore:
Li2CO3 
brine: 
mass: 2.7 tonne CO2e/tonne
value: 3.1 tonne CO2e/tonne
product: 2.9 tonne CO2e/tonne
process: 2.8 tonne CO2e/tonne
ore: 20.4 tonne CO2e/tonne
LiOH•H2O
brine: 
mass: 6.9 tonne CO2e/tonne
value: 7.3 tonne CO2e/tonne
product: 7.1 tonne CO2e/tonne
process: 7.0 tonne CO2e/tonne
ore: 15.7 tonne CO2e/tonne</v>
      </c>
      <c r="M31" s="3" t="str">
        <f>IF(ISBLANK('[1]Lithium Qualified Studies'!F4),"",'[1]Lithium Qualified Studies'!F4)</f>
        <v>Li2CO3 
brine: 
mass: 2.7 kg CO2eq/kg Li2CO3
value: 3.1 kg CO2eq/kg Li2CO3
product: 2.9 kg CO2eq/kg Li2CO3
process: 2.8 kg CO2eq/kg Li2CO3
ore: 20.4 kg CO2eq/kg Li2CO3
LiOH•H2O
brine: 
mass: 6.9  kg CO2 eq / kg LiOH⋅H2O
value: 7.3  kg CO2 eq / kg LiOH⋅H2O
product: 7.1  kg CO2 eq / kg LiOH⋅H2O
process: 7.0  kg CO2 eq / kg LiOH⋅H2O
ore: 15.7  kg CO2 eq / kg LiOH⋅H2O</v>
      </c>
      <c r="N31" s="3" t="str">
        <f>IF(ISBLANK('[1]Lithium Qualified Studies'!G4),"",'[1]Lithium Qualified Studies'!G4)</f>
        <v>Yes → production from brine is based on primary data, production from ore is based on a combination of the literature, engineering estimation, and primary data</v>
      </c>
      <c r="O31" s="3" t="str">
        <f>IF(ISBLANK('[1]Lithium Qualified Studies'!H4),"",'[1]Lithium Qualified Studies'!H4)</f>
        <v>1 tonne of battery-grade product (Li2CO3 or LiOH•H2O)</v>
      </c>
      <c r="P31" s="3" t="str">
        <f>IF(ISBLANK('[1]Lithium Qualified Studies'!I4),"",'[1]Lithium Qualified Studies'!I4)</f>
        <v>cradle to gate → screenshot</v>
      </c>
      <c r="Q31" s="3" t="str">
        <f>IF(ISBLANK('[1]Lithium Qualified Studies'!J4),"",'[1]Lithium Qualified Studies'!J4)</f>
        <v>++ transparent</v>
      </c>
      <c r="R31" s="3" t="str">
        <f>IF(ISBLANK('[1]Lithium Qualified Studies'!K4),"",'[1]Lithium Qualified Studies'!K4)</f>
        <v>Brine, Li2CO3, LiOH ∗ H2O, Minerals</v>
      </c>
      <c r="S31" s="3" t="str">
        <f>IF(ISBLANK('[1]Lithium Qualified Studies'!L4),"",'[1]Lithium Qualified Studies'!L4)</f>
        <v>Vanessa, systematic lit rev</v>
      </c>
      <c r="T31" s="3" t="str">
        <f>IF(ISBLANK('[1]Lithium Qualified Studies'!M4),"",'[1]Lithium Qualified Studies'!M4)</f>
        <v>Australia, Chile, China, Global</v>
      </c>
      <c r="U31" s="3" t="str">
        <f>IF(ISBLANK('[1]Lithium Qualified Studies'!N4),"",'[1]Lithium Qualified Studies'!N4)</f>
        <v>Salar de Atacama</v>
      </c>
      <c r="V31" s="8" t="b">
        <v>1</v>
      </c>
      <c r="W31" s="46" t="s">
        <v>142</v>
      </c>
    </row>
    <row r="32" spans="1:26" ht="16.95" customHeight="1" x14ac:dyDescent="0.3">
      <c r="G32" s="1" t="str">
        <f>IF(H32="Stamp et al. (2012)","","ERROR - check row order of Notion export")</f>
        <v/>
      </c>
      <c r="H32" s="3" t="str">
        <f>IF(ISBLANK('[1]Lithium Qualified Studies'!A5),"",'[1]Lithium Qualified Studies'!A5)</f>
        <v>Stamp et al. (2012)</v>
      </c>
      <c r="I32" s="3" t="str">
        <f>IF(ISBLANK('[1]Lithium Qualified Studies'!B5),"",'[1]Lithium Qualified Studies'!B5)</f>
        <v>Environmental impacts of a transition toward e-mobility: the present and future role of lithium carbonate production</v>
      </c>
      <c r="J32" s="3" t="str">
        <f>IF(ISBLANK('[1]Lithium Qualified Studies'!C5),"",'[1]Lithium Qualified Studies'!C5)</f>
        <v>https://doi.org/10.1016/j.jclepro.2011.10.026</v>
      </c>
      <c r="K32" s="3" t="str">
        <f>IF(ISBLANK('[1]Lithium Qualified Studies'!D5),"",'[1]Lithium Qualified Studies'!D5)</f>
        <v>Literature</v>
      </c>
      <c r="L32" s="3" t="str">
        <f>IF(ISBLANK('[1]Lithium Qualified Studies'!E5),"",'[1]Lithium Qualified Studies'!E5)</f>
        <v>brine (favorable): 2.02 kg CO2 eq / kg Li2CO3
brine (unfavorable): 82.01 kg CO2 eq / kg Li2CO3
spodumene (favorable): 2.27 kg CO2 eq / kg Li2CO3
spodumene (unfavorable): 2.62 kg CO2 eq / kg Li2CO3</v>
      </c>
      <c r="M32" s="3" t="str">
        <f>IF(ISBLANK('[1]Lithium Qualified Studies'!F5),"",'[1]Lithium Qualified Studies'!F5)</f>
        <v>brine (favorable): 2.02 kg CO2 eq / kg Li2CO3
brine (unfavorable): 82.01 kg CO2 eq / kg Li2CO3
spodumene (favorable): 2.27 kg CO2 eq / kg Li2CO3
spodumene (unfavorable): 2.62 kg CO2 eq / kg Li2CO3</v>
      </c>
      <c r="N32" s="3" t="str">
        <f>IF(ISBLANK('[1]Lithium Qualified Studies'!G5),"",'[1]Lithium Qualified Studies'!G5)</f>
        <v>partially → see comments</v>
      </c>
      <c r="O32" s="3" t="str">
        <f>IF(ISBLANK('[1]Lithium Qualified Studies'!H5),"",'[1]Lithium Qualified Studies'!H5)</f>
        <v>1 kg Li2CO3</v>
      </c>
      <c r="P32" s="3" t="str">
        <f>IF(ISBLANK('[1]Lithium Qualified Studies'!I5),"",'[1]Lithium Qualified Studies'!I5)</f>
        <v>cradle to gate → “The resource provision level represents the production of Li2CO3 from resource extraction to the final product at plant gate”</v>
      </c>
      <c r="Q32" s="3" t="str">
        <f>IF(ISBLANK('[1]Lithium Qualified Studies'!J5),"",'[1]Lithium Qualified Studies'!J5)</f>
        <v>+ transparent</v>
      </c>
      <c r="R32" s="3" t="str">
        <f>IF(ISBLANK('[1]Lithium Qualified Studies'!K5),"",'[1]Lithium Qualified Studies'!K5)</f>
        <v>Brine, Li2CO3, Minerals</v>
      </c>
      <c r="S32" s="3" t="str">
        <f>IF(ISBLANK('[1]Lithium Qualified Studies'!L5),"",'[1]Lithium Qualified Studies'!L5)</f>
        <v>Vanessa, systematic lit rev</v>
      </c>
      <c r="T32" s="3" t="str">
        <f>IF(ISBLANK('[1]Lithium Qualified Studies'!M5),"",'[1]Lithium Qualified Studies'!M5)</f>
        <v>Australia, Bolivia, Chile, China, Global</v>
      </c>
      <c r="U32" s="3" t="str">
        <f>IF(ISBLANK('[1]Lithium Qualified Studies'!N5),"",'[1]Lithium Qualified Studies'!N5)</f>
        <v>Greenbush, Manono Lithium-Tin Project, Salar de Atacama, Salar de Uyuni</v>
      </c>
      <c r="V32" s="8" t="b">
        <v>0</v>
      </c>
      <c r="W32" s="46" t="s">
        <v>30</v>
      </c>
    </row>
    <row r="33" spans="7:23" ht="16.05" customHeight="1" x14ac:dyDescent="0.3">
      <c r="G33" s="1" t="str">
        <f>IF(H33="Jiang et al (2020)","","ERROR - check row order of Notion export")</f>
        <v/>
      </c>
      <c r="H33" s="3" t="str">
        <f>IF(ISBLANK('[1]Lithium Qualified Studies'!A6),"",'[1]Lithium Qualified Studies'!A6)</f>
        <v>Jiang et al (2020)</v>
      </c>
      <c r="I33" s="3" t="str">
        <f>IF(ISBLANK('[1]Lithium Qualified Studies'!B6),"",'[1]Lithium Qualified Studies'!B6)</f>
        <v>Environmental impacts of lithium production showing the importance of primary data of upstream process in life-cycle assessment</v>
      </c>
      <c r="J33" s="3" t="str">
        <f>IF(ISBLANK('[1]Lithium Qualified Studies'!C6),"",'[1]Lithium Qualified Studies'!C6)</f>
        <v>https://doi.org/10.1016/j.jenvman.2020.110253</v>
      </c>
      <c r="K33" s="3" t="str">
        <f>IF(ISBLANK('[1]Lithium Qualified Studies'!D6),"",'[1]Lithium Qualified Studies'!D6)</f>
        <v>Literature</v>
      </c>
      <c r="L33" s="3" t="str">
        <f>IF(ISBLANK('[1]Lithium Qualified Studies'!E6),"",'[1]Lithium Qualified Studies'!E6)</f>
        <v>Rock-based lithium: 15.69 kg CO2 eq/kg Li2CO3 (90% CI 5.2%)
Brine-based lithium: 3.29E-01 kg CO2 eq/kg Li2CO3</v>
      </c>
      <c r="M33" s="3" t="str">
        <f>IF(ISBLANK('[1]Lithium Qualified Studies'!F6),"",'[1]Lithium Qualified Studies'!F6)</f>
        <v>Rock-based lithium: 15.69 kg CO2 eq/kg Li2CO3
Brine-based lithium: 0.329 kg CO2 eq/kg Li2CO3</v>
      </c>
      <c r="N33" s="3" t="str">
        <f>IF(ISBLANK('[1]Lithium Qualified Studies'!G6),"",'[1]Lithium Qualified Studies'!G6)</f>
        <v>Yes → see comments</v>
      </c>
      <c r="O33" s="3" t="str">
        <f>IF(ISBLANK('[1]Lithium Qualified Studies'!H6),"",'[1]Lithium Qualified Studies'!H6)</f>
        <v>1 kg of refined lithium carbonate (Li2CO3) with a purity of 99.9% preparing for Li-ion battery</v>
      </c>
      <c r="P33" s="3" t="str">
        <f>IF(ISBLANK('[1]Lithium Qualified Studies'!I6),"",'[1]Lithium Qualified Studies'!I6)</f>
        <v>cradle to gate → see screenshot</v>
      </c>
      <c r="Q33" s="3" t="str">
        <f>IF(ISBLANK('[1]Lithium Qualified Studies'!J6),"",'[1]Lithium Qualified Studies'!J6)</f>
        <v>++ transparent</v>
      </c>
      <c r="R33" s="3" t="str">
        <f>IF(ISBLANK('[1]Lithium Qualified Studies'!K6),"",'[1]Lithium Qualified Studies'!K6)</f>
        <v>Brine, Li2CO3, Minerals</v>
      </c>
      <c r="S33" s="3" t="str">
        <f>IF(ISBLANK('[1]Lithium Qualified Studies'!L6),"",'[1]Lithium Qualified Studies'!L6)</f>
        <v>Vanessa, connectedpapers.com, systematic lit rev</v>
      </c>
      <c r="T33" s="3" t="str">
        <f>IF(ISBLANK('[1]Lithium Qualified Studies'!M6),"",'[1]Lithium Qualified Studies'!M6)</f>
        <v>Argentina, Australia, China</v>
      </c>
      <c r="U33" s="3" t="str">
        <f>IF(ISBLANK('[1]Lithium Qualified Studies'!N6),"",'[1]Lithium Qualified Studies'!N6)</f>
        <v>Salar de Atacama</v>
      </c>
      <c r="V33" s="8" t="b">
        <v>1</v>
      </c>
      <c r="W33" s="46" t="s">
        <v>2</v>
      </c>
    </row>
    <row r="34" spans="7:23" s="6" customFormat="1" x14ac:dyDescent="0.3">
      <c r="G34" s="1" t="str">
        <f>IF(H34="GREET 2022 [from brine]","","ERROR - check row order of Notion export")</f>
        <v/>
      </c>
      <c r="H34" s="3" t="str">
        <f>IF(ISBLANK('[1]Lithium Qualified Studies'!A7),"",'[1]Lithium Qualified Studies'!A7)</f>
        <v>GREET 2022 [from brine]</v>
      </c>
      <c r="I34" s="3" t="str">
        <f>IF(ISBLANK('[1]Lithium Qualified Studies'!B7),"",'[1]Lithium Qualified Studies'!B7)</f>
        <v>GREET 2022 .net</v>
      </c>
      <c r="J34" s="3" t="str">
        <f>IF(ISBLANK('[1]Lithium Qualified Studies'!C7),"",'[1]Lithium Qualified Studies'!C7)</f>
        <v>https://greet.anl.gov/</v>
      </c>
      <c r="K34" s="3" t="str">
        <f>IF(ISBLANK('[1]Lithium Qualified Studies'!D7),"",'[1]Lithium Qualified Studies'!D7)</f>
        <v>Database</v>
      </c>
      <c r="L34" s="3" t="str">
        <f>IF(ISBLANK('[1]Lithium Qualified Studies'!E7),"",'[1]Lithium Qualified Studies'!E7)</f>
        <v>2.8 kg CO2e/kg Li2CO3</v>
      </c>
      <c r="M34" s="3" t="str">
        <f>IF(ISBLANK('[1]Lithium Qualified Studies'!F7),"",'[1]Lithium Qualified Studies'!F7)</f>
        <v>2.8 kg CO2e/kg Li2CO3</v>
      </c>
      <c r="N34" s="3" t="str">
        <f>IF(ISBLANK('[1]Lithium Qualified Studies'!G7),"",'[1]Lithium Qualified Studies'!G7)</f>
        <v>based on Kelly (2021)</v>
      </c>
      <c r="O34" s="3" t="str">
        <f>IF(ISBLANK('[1]Lithium Qualified Studies'!H7),"",'[1]Lithium Qualified Studies'!H7)</f>
        <v>1 kg Li2CO3 (battery grade)</v>
      </c>
      <c r="P34" s="3" t="str">
        <f>IF(ISBLANK('[1]Lithium Qualified Studies'!I7),"",'[1]Lithium Qualified Studies'!I7)</f>
        <v/>
      </c>
      <c r="Q34" s="3" t="str">
        <f>IF(ISBLANK('[1]Lithium Qualified Studies'!J7),"",'[1]Lithium Qualified Studies'!J7)</f>
        <v/>
      </c>
      <c r="R34" s="3" t="str">
        <f>IF(ISBLANK('[1]Lithium Qualified Studies'!K7),"",'[1]Lithium Qualified Studies'!K7)</f>
        <v>Brine, Li2CO3</v>
      </c>
      <c r="S34" s="3" t="str">
        <f>IF(ISBLANK('[1]Lithium Qualified Studies'!L7),"",'[1]Lithium Qualified Studies'!L7)</f>
        <v/>
      </c>
      <c r="T34" s="3" t="str">
        <f>IF(ISBLANK('[1]Lithium Qualified Studies'!M7),"",'[1]Lithium Qualified Studies'!M7)</f>
        <v>Chile</v>
      </c>
      <c r="U34" s="3" t="str">
        <f>IF(ISBLANK('[1]Lithium Qualified Studies'!N7),"",'[1]Lithium Qualified Studies'!N7)</f>
        <v>Salar de Atacama</v>
      </c>
      <c r="V34" s="8"/>
      <c r="W34" s="9"/>
    </row>
    <row r="35" spans="7:23" x14ac:dyDescent="0.3">
      <c r="G35" s="1" t="str">
        <f>IF(H35="GREET 2022 [from ore]","","ERROR - check row order of Notion export")</f>
        <v/>
      </c>
      <c r="H35" s="3" t="str">
        <f>IF(ISBLANK('[1]Lithium Qualified Studies'!A8),"",'[1]Lithium Qualified Studies'!A8)</f>
        <v>GREET 2022 [from ore]</v>
      </c>
      <c r="I35" s="3" t="str">
        <f>IF(ISBLANK('[1]Lithium Qualified Studies'!B8),"",'[1]Lithium Qualified Studies'!B8)</f>
        <v>GREET 2022 .net</v>
      </c>
      <c r="J35" s="3" t="str">
        <f>IF(ISBLANK('[1]Lithium Qualified Studies'!C8),"",'[1]Lithium Qualified Studies'!C8)</f>
        <v>https://greet.anl.gov/</v>
      </c>
      <c r="K35" s="3" t="str">
        <f>IF(ISBLANK('[1]Lithium Qualified Studies'!D8),"",'[1]Lithium Qualified Studies'!D8)</f>
        <v>Database</v>
      </c>
      <c r="L35" s="3" t="str">
        <f>IF(ISBLANK('[1]Lithium Qualified Studies'!E8),"",'[1]Lithium Qualified Studies'!E8)</f>
        <v>20.2 kg CO2e/kg Li2CO3</v>
      </c>
      <c r="M35" s="3" t="str">
        <f>IF(ISBLANK('[1]Lithium Qualified Studies'!F8),"",'[1]Lithium Qualified Studies'!F8)</f>
        <v>20.2 kg CO2e/kg Li2CO3</v>
      </c>
      <c r="N35" s="3" t="str">
        <f>IF(ISBLANK('[1]Lithium Qualified Studies'!G8),"",'[1]Lithium Qualified Studies'!G8)</f>
        <v>based on Kelly (2021)</v>
      </c>
      <c r="O35" s="3" t="str">
        <f>IF(ISBLANK('[1]Lithium Qualified Studies'!H8),"",'[1]Lithium Qualified Studies'!H8)</f>
        <v>1 kg Li2CO3 (battery grade)</v>
      </c>
      <c r="P35" s="3" t="str">
        <f>IF(ISBLANK('[1]Lithium Qualified Studies'!I8),"",'[1]Lithium Qualified Studies'!I8)</f>
        <v/>
      </c>
      <c r="Q35" s="3" t="str">
        <f>IF(ISBLANK('[1]Lithium Qualified Studies'!J8),"",'[1]Lithium Qualified Studies'!J8)</f>
        <v/>
      </c>
      <c r="R35" s="3" t="str">
        <f>IF(ISBLANK('[1]Lithium Qualified Studies'!K8),"",'[1]Lithium Qualified Studies'!K8)</f>
        <v>Li2CO3, Minerals</v>
      </c>
      <c r="S35" s="3" t="str">
        <f>IF(ISBLANK('[1]Lithium Qualified Studies'!L8),"",'[1]Lithium Qualified Studies'!L8)</f>
        <v/>
      </c>
      <c r="T35" s="3" t="str">
        <f>IF(ISBLANK('[1]Lithium Qualified Studies'!M8),"",'[1]Lithium Qualified Studies'!M8)</f>
        <v>Australia, China</v>
      </c>
      <c r="U35" s="3" t="str">
        <f>IF(ISBLANK('[1]Lithium Qualified Studies'!N8),"",'[1]Lithium Qualified Studies'!N8)</f>
        <v/>
      </c>
      <c r="V35" s="8"/>
      <c r="W35" s="9"/>
    </row>
    <row r="36" spans="7:23" x14ac:dyDescent="0.3">
      <c r="G36" s="1" t="str">
        <f>IF(H36="EI 3.9.1 [from ore, RoW]","","ERROR - check row order of Notion export")</f>
        <v/>
      </c>
      <c r="H36" s="3" t="str">
        <f>IF(ISBLANK('[1]Lithium Qualified Studies'!A9),"",'[1]Lithium Qualified Studies'!A9)</f>
        <v>EI 3.9.1 [from ore, RoW]</v>
      </c>
      <c r="I36" s="3" t="str">
        <f>IF(ISBLANK('[1]Lithium Qualified Studies'!B9),"",'[1]Lithium Qualified Studies'!B9)</f>
        <v>lithium carbonate production, from spodumene</v>
      </c>
      <c r="J36" s="3" t="str">
        <f>IF(ISBLANK('[1]Lithium Qualified Studies'!C9),"",'[1]Lithium Qualified Studies'!C9)</f>
        <v>https://ecoquery.ecoinvent.org/3.9.1/cutoff/dataset/24583/impact_assessment</v>
      </c>
      <c r="K36" s="3" t="str">
        <f>IF(ISBLANK('[1]Lithium Qualified Studies'!D9),"",'[1]Lithium Qualified Studies'!D9)</f>
        <v>Database</v>
      </c>
      <c r="L36" s="3" t="str">
        <f>IF(ISBLANK('[1]Lithium Qualified Studies'!E9),"",'[1]Lithium Qualified Studies'!E9)</f>
        <v>9.5289 kg CO2e/kg Li2CO3</v>
      </c>
      <c r="M36" s="3" t="str">
        <f>IF(ISBLANK('[1]Lithium Qualified Studies'!F9),"",'[1]Lithium Qualified Studies'!F9)</f>
        <v>9.5289 kg CO2e/kg Li2CO3</v>
      </c>
      <c r="N36" s="3" t="str">
        <f>IF(ISBLANK('[1]Lithium Qualified Studies'!G9),"",'[1]Lithium Qualified Studies'!G9)</f>
        <v>based on Jiang et al. (2020)</v>
      </c>
      <c r="O36" s="3" t="str">
        <f>IF(ISBLANK('[1]Lithium Qualified Studies'!H9),"",'[1]Lithium Qualified Studies'!H9)</f>
        <v>1 kg of refined lithium carbonate (Li2CO3), with 99.9% purity.</v>
      </c>
      <c r="P36" s="3" t="str">
        <f>IF(ISBLANK('[1]Lithium Qualified Studies'!I9),"",'[1]Lithium Qualified Studies'!I9)</f>
        <v/>
      </c>
      <c r="Q36" s="3" t="str">
        <f>IF(ISBLANK('[1]Lithium Qualified Studies'!J9),"",'[1]Lithium Qualified Studies'!J9)</f>
        <v/>
      </c>
      <c r="R36" s="3" t="str">
        <f>IF(ISBLANK('[1]Lithium Qualified Studies'!K9),"",'[1]Lithium Qualified Studies'!K9)</f>
        <v>Li2CO3, Minerals</v>
      </c>
      <c r="S36" s="3" t="str">
        <f>IF(ISBLANK('[1]Lithium Qualified Studies'!L9),"",'[1]Lithium Qualified Studies'!L9)</f>
        <v/>
      </c>
      <c r="T36" s="3" t="str">
        <f>IF(ISBLANK('[1]Lithium Qualified Studies'!M9),"",'[1]Lithium Qualified Studies'!M9)</f>
        <v>Australia, China</v>
      </c>
      <c r="U36" s="3" t="str">
        <f>IF(ISBLANK('[1]Lithium Qualified Studies'!N9),"",'[1]Lithium Qualified Studies'!N9)</f>
        <v/>
      </c>
      <c r="V36" s="8"/>
      <c r="W36" s="9"/>
    </row>
    <row r="37" spans="7:23" x14ac:dyDescent="0.3">
      <c r="G37" s="1" t="str">
        <f>IF(H37="EI 3.9.1 [from ore, CN]","","ERROR - check row order of Notion export")</f>
        <v/>
      </c>
      <c r="H37" s="3" t="str">
        <f>IF(ISBLANK('[1]Lithium Qualified Studies'!A10),"",'[1]Lithium Qualified Studies'!A10)</f>
        <v>EI 3.9.1 [from ore, CN]</v>
      </c>
      <c r="I37" s="3" t="str">
        <f>IF(ISBLANK('[1]Lithium Qualified Studies'!B10),"",'[1]Lithium Qualified Studies'!B10)</f>
        <v>lithium carbonate production, from spodumene</v>
      </c>
      <c r="J37" s="3" t="str">
        <f>IF(ISBLANK('[1]Lithium Qualified Studies'!C10),"",'[1]Lithium Qualified Studies'!C10)</f>
        <v>https://ecoquery.ecoinvent.org/3.9.1/cutoff/dataset/24929/impact_assessment</v>
      </c>
      <c r="K37" s="3" t="str">
        <f>IF(ISBLANK('[1]Lithium Qualified Studies'!D10),"",'[1]Lithium Qualified Studies'!D10)</f>
        <v>Database</v>
      </c>
      <c r="L37" s="3" t="str">
        <f>IF(ISBLANK('[1]Lithium Qualified Studies'!E10),"",'[1]Lithium Qualified Studies'!E10)</f>
        <v>1.0676 kg CO2e/kg Li2CO3</v>
      </c>
      <c r="M37" s="3" t="str">
        <f>IF(ISBLANK('[1]Lithium Qualified Studies'!F10),"",'[1]Lithium Qualified Studies'!F10)</f>
        <v>1.0676 kg CO2e/kg Li2CO3</v>
      </c>
      <c r="N37" s="3" t="str">
        <f>IF(ISBLANK('[1]Lithium Qualified Studies'!G10),"",'[1]Lithium Qualified Studies'!G10)</f>
        <v>based on Jiang et al. (2020)</v>
      </c>
      <c r="O37" s="3" t="str">
        <f>IF(ISBLANK('[1]Lithium Qualified Studies'!H10),"",'[1]Lithium Qualified Studies'!H10)</f>
        <v>1 kg of refined lithium carbonate (Li2CO3), with 99.9% purity.</v>
      </c>
      <c r="P37" s="3" t="str">
        <f>IF(ISBLANK('[1]Lithium Qualified Studies'!I10),"",'[1]Lithium Qualified Studies'!I10)</f>
        <v/>
      </c>
      <c r="Q37" s="3" t="str">
        <f>IF(ISBLANK('[1]Lithium Qualified Studies'!J10),"",'[1]Lithium Qualified Studies'!J10)</f>
        <v/>
      </c>
      <c r="R37" s="3" t="str">
        <f>IF(ISBLANK('[1]Lithium Qualified Studies'!K10),"",'[1]Lithium Qualified Studies'!K10)</f>
        <v>Li2CO3, Minerals</v>
      </c>
      <c r="S37" s="3" t="str">
        <f>IF(ISBLANK('[1]Lithium Qualified Studies'!L10),"",'[1]Lithium Qualified Studies'!L10)</f>
        <v/>
      </c>
      <c r="T37" s="3" t="str">
        <f>IF(ISBLANK('[1]Lithium Qualified Studies'!M10),"",'[1]Lithium Qualified Studies'!M10)</f>
        <v>China</v>
      </c>
      <c r="U37" s="3" t="str">
        <f>IF(ISBLANK('[1]Lithium Qualified Studies'!N10),"",'[1]Lithium Qualified Studies'!N10)</f>
        <v/>
      </c>
      <c r="V37" s="8"/>
      <c r="W37" s="9"/>
    </row>
    <row r="38" spans="7:23" x14ac:dyDescent="0.3">
      <c r="G38" s="1" t="str">
        <f>IF(H38="EI 3.9.1 [from brine, GLO]","","ERROR - check row order of Notion export")</f>
        <v/>
      </c>
      <c r="H38" s="3" t="str">
        <f>IF(ISBLANK('[1]Lithium Qualified Studies'!A11),"",'[1]Lithium Qualified Studies'!A11)</f>
        <v>EI 3.9.1 [from brine, GLO]</v>
      </c>
      <c r="I38" s="3" t="str">
        <f>IF(ISBLANK('[1]Lithium Qualified Studies'!B11),"",'[1]Lithium Qualified Studies'!B11)</f>
        <v>lithium carbonate production, from concentrated brine</v>
      </c>
      <c r="J38" s="3" t="str">
        <f>IF(ISBLANK('[1]Lithium Qualified Studies'!C11),"",'[1]Lithium Qualified Studies'!C11)</f>
        <v>https://ecoquery.ecoinvent.org/3.9.1/cutoff/dataset/2085/documentation</v>
      </c>
      <c r="K38" s="3" t="str">
        <f>IF(ISBLANK('[1]Lithium Qualified Studies'!D11),"",'[1]Lithium Qualified Studies'!D11)</f>
        <v>Database</v>
      </c>
      <c r="L38" s="3" t="str">
        <f>IF(ISBLANK('[1]Lithium Qualified Studies'!E11),"",'[1]Lithium Qualified Studies'!E11)</f>
        <v>2.1598 kg CO2e/kg Li2CO3</v>
      </c>
      <c r="M38" s="3" t="str">
        <f>IF(ISBLANK('[1]Lithium Qualified Studies'!F11),"",'[1]Lithium Qualified Studies'!F11)</f>
        <v>2.1598 kg CO2e/kg Li2CO3</v>
      </c>
      <c r="N38" s="3" t="str">
        <f>IF(ISBLANK('[1]Lithium Qualified Studies'!G11),"",'[1]Lithium Qualified Studies'!G11)</f>
        <v>based on an environmental survey from SEIA-CONAMA (2006) as well as environmental reports from a company in Chile (SQM)</v>
      </c>
      <c r="O38" s="3" t="str">
        <f>IF(ISBLANK('[1]Lithium Qualified Studies'!H11),"",'[1]Lithium Qualified Studies'!H11)</f>
        <v>1 kg of lithium carbonate from concentrated brine</v>
      </c>
      <c r="P38" s="3" t="str">
        <f>IF(ISBLANK('[1]Lithium Qualified Studies'!I11),"",'[1]Lithium Qualified Studies'!I11)</f>
        <v/>
      </c>
      <c r="Q38" s="3" t="str">
        <f>IF(ISBLANK('[1]Lithium Qualified Studies'!J11),"",'[1]Lithium Qualified Studies'!J11)</f>
        <v/>
      </c>
      <c r="R38" s="3" t="str">
        <f>IF(ISBLANK('[1]Lithium Qualified Studies'!K11),"",'[1]Lithium Qualified Studies'!K11)</f>
        <v>Brine, Li2CO3</v>
      </c>
      <c r="S38" s="3" t="str">
        <f>IF(ISBLANK('[1]Lithium Qualified Studies'!L11),"",'[1]Lithium Qualified Studies'!L11)</f>
        <v/>
      </c>
      <c r="T38" s="3" t="str">
        <f>IF(ISBLANK('[1]Lithium Qualified Studies'!M11),"",'[1]Lithium Qualified Studies'!M11)</f>
        <v>Chile</v>
      </c>
      <c r="U38" s="3" t="str">
        <f>IF(ISBLANK('[1]Lithium Qualified Studies'!N11),"",'[1]Lithium Qualified Studies'!N11)</f>
        <v/>
      </c>
      <c r="V38" s="8"/>
      <c r="W38" s="9"/>
    </row>
    <row r="39" spans="7:23" x14ac:dyDescent="0.3">
      <c r="G39" s="1" t="str">
        <f t="shared" ref="G39:G48" si="6">IF(H39="","","ERROR - check row order of Notion export")</f>
        <v/>
      </c>
      <c r="H39" s="3" t="str">
        <f>IF(ISBLANK('[1]Lithium Qualified Studies'!A12),"",'[1]Lithium Qualified Studies'!A12)</f>
        <v/>
      </c>
      <c r="I39" s="3" t="str">
        <f>IF(ISBLANK('[1]Lithium Qualified Studies'!B12),"",'[1]Lithium Qualified Studies'!B12)</f>
        <v/>
      </c>
      <c r="J39" s="3" t="str">
        <f>IF(ISBLANK('[1]Lithium Qualified Studies'!C12),"",'[1]Lithium Qualified Studies'!C12)</f>
        <v/>
      </c>
      <c r="K39" s="3" t="str">
        <f>IF(ISBLANK('[1]Lithium Qualified Studies'!D12),"",'[1]Lithium Qualified Studies'!D12)</f>
        <v/>
      </c>
      <c r="L39" s="3" t="str">
        <f>IF(ISBLANK('[1]Lithium Qualified Studies'!E12),"",'[1]Lithium Qualified Studies'!E12)</f>
        <v/>
      </c>
      <c r="M39" s="3" t="str">
        <f>IF(ISBLANK('[1]Lithium Qualified Studies'!F12),"",'[1]Lithium Qualified Studies'!F12)</f>
        <v/>
      </c>
      <c r="N39" s="3" t="str">
        <f>IF(ISBLANK('[1]Lithium Qualified Studies'!G12),"",'[1]Lithium Qualified Studies'!G12)</f>
        <v/>
      </c>
      <c r="O39" s="3" t="str">
        <f>IF(ISBLANK('[1]Lithium Qualified Studies'!H12),"",'[1]Lithium Qualified Studies'!H12)</f>
        <v/>
      </c>
      <c r="P39" s="3" t="str">
        <f>IF(ISBLANK('[1]Lithium Qualified Studies'!I12),"",'[1]Lithium Qualified Studies'!I12)</f>
        <v/>
      </c>
      <c r="Q39" s="3" t="str">
        <f>IF(ISBLANK('[1]Lithium Qualified Studies'!J12),"",'[1]Lithium Qualified Studies'!J12)</f>
        <v/>
      </c>
      <c r="R39" s="3" t="str">
        <f>IF(ISBLANK('[1]Lithium Qualified Studies'!K12),"",'[1]Lithium Qualified Studies'!K12)</f>
        <v/>
      </c>
      <c r="S39" s="3" t="str">
        <f>IF(ISBLANK('[1]Lithium Qualified Studies'!L12),"",'[1]Lithium Qualified Studies'!L12)</f>
        <v/>
      </c>
      <c r="T39" s="3" t="str">
        <f>IF(ISBLANK('[1]Lithium Qualified Studies'!M12),"",'[1]Lithium Qualified Studies'!M12)</f>
        <v/>
      </c>
      <c r="U39" s="3" t="str">
        <f>IF(ISBLANK('[1]Lithium Qualified Studies'!N12),"",'[1]Lithium Qualified Studies'!N12)</f>
        <v/>
      </c>
      <c r="V39" s="8"/>
      <c r="W39" s="9"/>
    </row>
    <row r="40" spans="7:23" x14ac:dyDescent="0.3">
      <c r="G40" s="1" t="str">
        <f t="shared" si="6"/>
        <v/>
      </c>
      <c r="H40" s="3" t="str">
        <f>IF(ISBLANK('[1]Lithium Qualified Studies'!A13),"",'[1]Lithium Qualified Studies'!A13)</f>
        <v/>
      </c>
      <c r="I40" s="3" t="str">
        <f>IF(ISBLANK('[1]Lithium Qualified Studies'!B13),"",'[1]Lithium Qualified Studies'!B13)</f>
        <v/>
      </c>
      <c r="J40" s="3" t="str">
        <f>IF(ISBLANK('[1]Lithium Qualified Studies'!C13),"",'[1]Lithium Qualified Studies'!C13)</f>
        <v/>
      </c>
      <c r="K40" s="3" t="str">
        <f>IF(ISBLANK('[1]Lithium Qualified Studies'!D13),"",'[1]Lithium Qualified Studies'!D13)</f>
        <v/>
      </c>
      <c r="L40" s="3" t="str">
        <f>IF(ISBLANK('[1]Lithium Qualified Studies'!E13),"",'[1]Lithium Qualified Studies'!E13)</f>
        <v/>
      </c>
      <c r="M40" s="3" t="str">
        <f>IF(ISBLANK('[1]Lithium Qualified Studies'!F13),"",'[1]Lithium Qualified Studies'!F13)</f>
        <v/>
      </c>
      <c r="N40" s="3" t="str">
        <f>IF(ISBLANK('[1]Lithium Qualified Studies'!G13),"",'[1]Lithium Qualified Studies'!G13)</f>
        <v/>
      </c>
      <c r="O40" s="3" t="str">
        <f>IF(ISBLANK('[1]Lithium Qualified Studies'!H13),"",'[1]Lithium Qualified Studies'!H13)</f>
        <v/>
      </c>
      <c r="P40" s="3" t="str">
        <f>IF(ISBLANK('[1]Lithium Qualified Studies'!I13),"",'[1]Lithium Qualified Studies'!I13)</f>
        <v/>
      </c>
      <c r="Q40" s="3" t="str">
        <f>IF(ISBLANK('[1]Lithium Qualified Studies'!J13),"",'[1]Lithium Qualified Studies'!J13)</f>
        <v/>
      </c>
      <c r="R40" s="3" t="str">
        <f>IF(ISBLANK('[1]Lithium Qualified Studies'!K13),"",'[1]Lithium Qualified Studies'!K13)</f>
        <v/>
      </c>
      <c r="S40" s="3" t="str">
        <f>IF(ISBLANK('[1]Lithium Qualified Studies'!L13),"",'[1]Lithium Qualified Studies'!L13)</f>
        <v/>
      </c>
      <c r="T40" s="3" t="str">
        <f>IF(ISBLANK('[1]Lithium Qualified Studies'!M13),"",'[1]Lithium Qualified Studies'!M13)</f>
        <v/>
      </c>
      <c r="U40" s="3" t="str">
        <f>IF(ISBLANK('[1]Lithium Qualified Studies'!N13),"",'[1]Lithium Qualified Studies'!N13)</f>
        <v/>
      </c>
      <c r="V40" s="8"/>
      <c r="W40" s="9"/>
    </row>
    <row r="41" spans="7:23" x14ac:dyDescent="0.3">
      <c r="G41" s="1" t="str">
        <f t="shared" si="6"/>
        <v/>
      </c>
      <c r="H41" s="3" t="str">
        <f>IF(ISBLANK('[1]Lithium Qualified Studies'!A14),"",'[1]Lithium Qualified Studies'!A14)</f>
        <v/>
      </c>
      <c r="I41" s="3" t="str">
        <f>IF(ISBLANK('[1]Lithium Qualified Studies'!B14),"",'[1]Lithium Qualified Studies'!B14)</f>
        <v/>
      </c>
      <c r="J41" s="3" t="str">
        <f>IF(ISBLANK('[1]Lithium Qualified Studies'!C14),"",'[1]Lithium Qualified Studies'!C14)</f>
        <v/>
      </c>
      <c r="K41" s="3" t="str">
        <f>IF(ISBLANK('[1]Lithium Qualified Studies'!D14),"",'[1]Lithium Qualified Studies'!D14)</f>
        <v/>
      </c>
      <c r="L41" s="3" t="str">
        <f>IF(ISBLANK('[1]Lithium Qualified Studies'!E14),"",'[1]Lithium Qualified Studies'!E14)</f>
        <v/>
      </c>
      <c r="M41" s="3" t="str">
        <f>IF(ISBLANK('[1]Lithium Qualified Studies'!F14),"",'[1]Lithium Qualified Studies'!F14)</f>
        <v/>
      </c>
      <c r="N41" s="3" t="str">
        <f>IF(ISBLANK('[1]Lithium Qualified Studies'!G14),"",'[1]Lithium Qualified Studies'!G14)</f>
        <v/>
      </c>
      <c r="O41" s="3" t="str">
        <f>IF(ISBLANK('[1]Lithium Qualified Studies'!H14),"",'[1]Lithium Qualified Studies'!H14)</f>
        <v/>
      </c>
      <c r="P41" s="3" t="str">
        <f>IF(ISBLANK('[1]Lithium Qualified Studies'!I14),"",'[1]Lithium Qualified Studies'!I14)</f>
        <v/>
      </c>
      <c r="Q41" s="3" t="str">
        <f>IF(ISBLANK('[1]Lithium Qualified Studies'!J14),"",'[1]Lithium Qualified Studies'!J14)</f>
        <v/>
      </c>
      <c r="R41" s="3" t="str">
        <f>IF(ISBLANK('[1]Lithium Qualified Studies'!K14),"",'[1]Lithium Qualified Studies'!K14)</f>
        <v/>
      </c>
      <c r="S41" s="3" t="str">
        <f>IF(ISBLANK('[1]Lithium Qualified Studies'!L14),"",'[1]Lithium Qualified Studies'!L14)</f>
        <v/>
      </c>
      <c r="T41" s="3" t="str">
        <f>IF(ISBLANK('[1]Lithium Qualified Studies'!M14),"",'[1]Lithium Qualified Studies'!M14)</f>
        <v/>
      </c>
      <c r="U41" s="3" t="str">
        <f>IF(ISBLANK('[1]Lithium Qualified Studies'!N14),"",'[1]Lithium Qualified Studies'!N14)</f>
        <v/>
      </c>
      <c r="V41" s="8"/>
      <c r="W41" s="9"/>
    </row>
    <row r="42" spans="7:23" x14ac:dyDescent="0.3">
      <c r="G42" s="1" t="str">
        <f t="shared" si="6"/>
        <v/>
      </c>
      <c r="H42" s="3" t="str">
        <f>IF(ISBLANK('[1]Lithium Qualified Studies'!A15),"",'[1]Lithium Qualified Studies'!A15)</f>
        <v/>
      </c>
      <c r="I42" s="3" t="str">
        <f>IF(ISBLANK('[1]Lithium Qualified Studies'!B15),"",'[1]Lithium Qualified Studies'!B15)</f>
        <v/>
      </c>
      <c r="J42" s="3" t="str">
        <f>IF(ISBLANK('[1]Lithium Qualified Studies'!C15),"",'[1]Lithium Qualified Studies'!C15)</f>
        <v/>
      </c>
      <c r="K42" s="3" t="str">
        <f>IF(ISBLANK('[1]Lithium Qualified Studies'!D15),"",'[1]Lithium Qualified Studies'!D15)</f>
        <v/>
      </c>
      <c r="L42" s="3" t="str">
        <f>IF(ISBLANK('[1]Lithium Qualified Studies'!E15),"",'[1]Lithium Qualified Studies'!E15)</f>
        <v/>
      </c>
      <c r="M42" s="3" t="str">
        <f>IF(ISBLANK('[1]Lithium Qualified Studies'!F15),"",'[1]Lithium Qualified Studies'!F15)</f>
        <v/>
      </c>
      <c r="N42" s="3" t="str">
        <f>IF(ISBLANK('[1]Lithium Qualified Studies'!G15),"",'[1]Lithium Qualified Studies'!G15)</f>
        <v/>
      </c>
      <c r="O42" s="3" t="str">
        <f>IF(ISBLANK('[1]Lithium Qualified Studies'!H15),"",'[1]Lithium Qualified Studies'!H15)</f>
        <v/>
      </c>
      <c r="P42" s="3" t="str">
        <f>IF(ISBLANK('[1]Lithium Qualified Studies'!I15),"",'[1]Lithium Qualified Studies'!I15)</f>
        <v/>
      </c>
      <c r="Q42" s="3" t="str">
        <f>IF(ISBLANK('[1]Lithium Qualified Studies'!J15),"",'[1]Lithium Qualified Studies'!J15)</f>
        <v/>
      </c>
      <c r="R42" s="3" t="str">
        <f>IF(ISBLANK('[1]Lithium Qualified Studies'!K15),"",'[1]Lithium Qualified Studies'!K15)</f>
        <v/>
      </c>
      <c r="S42" s="3" t="str">
        <f>IF(ISBLANK('[1]Lithium Qualified Studies'!L15),"",'[1]Lithium Qualified Studies'!L15)</f>
        <v/>
      </c>
      <c r="T42" s="3" t="str">
        <f>IF(ISBLANK('[1]Lithium Qualified Studies'!M15),"",'[1]Lithium Qualified Studies'!M15)</f>
        <v/>
      </c>
      <c r="U42" s="3" t="str">
        <f>IF(ISBLANK('[1]Lithium Qualified Studies'!N15),"",'[1]Lithium Qualified Studies'!N15)</f>
        <v/>
      </c>
      <c r="V42" s="8"/>
      <c r="W42" s="9"/>
    </row>
    <row r="43" spans="7:23" x14ac:dyDescent="0.3">
      <c r="G43" s="1" t="str">
        <f t="shared" si="6"/>
        <v/>
      </c>
      <c r="H43" s="3" t="str">
        <f>IF(ISBLANK('[1]Lithium Qualified Studies'!A16),"",'[1]Lithium Qualified Studies'!A16)</f>
        <v/>
      </c>
      <c r="I43" s="3" t="str">
        <f>IF(ISBLANK('[1]Lithium Qualified Studies'!B16),"",'[1]Lithium Qualified Studies'!B16)</f>
        <v/>
      </c>
      <c r="J43" s="3" t="str">
        <f>IF(ISBLANK('[1]Lithium Qualified Studies'!C16),"",'[1]Lithium Qualified Studies'!C16)</f>
        <v/>
      </c>
      <c r="K43" s="3" t="str">
        <f>IF(ISBLANK('[1]Lithium Qualified Studies'!D16),"",'[1]Lithium Qualified Studies'!D16)</f>
        <v/>
      </c>
      <c r="L43" s="3" t="str">
        <f>IF(ISBLANK('[1]Lithium Qualified Studies'!E16),"",'[1]Lithium Qualified Studies'!E16)</f>
        <v/>
      </c>
      <c r="M43" s="3" t="str">
        <f>IF(ISBLANK('[1]Lithium Qualified Studies'!F16),"",'[1]Lithium Qualified Studies'!F16)</f>
        <v/>
      </c>
      <c r="N43" s="3" t="str">
        <f>IF(ISBLANK('[1]Lithium Qualified Studies'!G16),"",'[1]Lithium Qualified Studies'!G16)</f>
        <v/>
      </c>
      <c r="O43" s="3" t="str">
        <f>IF(ISBLANK('[1]Lithium Qualified Studies'!H16),"",'[1]Lithium Qualified Studies'!H16)</f>
        <v/>
      </c>
      <c r="P43" s="3" t="str">
        <f>IF(ISBLANK('[1]Lithium Qualified Studies'!I16),"",'[1]Lithium Qualified Studies'!I16)</f>
        <v/>
      </c>
      <c r="Q43" s="3" t="str">
        <f>IF(ISBLANK('[1]Lithium Qualified Studies'!J16),"",'[1]Lithium Qualified Studies'!J16)</f>
        <v/>
      </c>
      <c r="R43" s="3" t="str">
        <f>IF(ISBLANK('[1]Lithium Qualified Studies'!K16),"",'[1]Lithium Qualified Studies'!K16)</f>
        <v/>
      </c>
      <c r="S43" s="3" t="str">
        <f>IF(ISBLANK('[1]Lithium Qualified Studies'!L16),"",'[1]Lithium Qualified Studies'!L16)</f>
        <v/>
      </c>
      <c r="T43" s="3" t="str">
        <f>IF(ISBLANK('[1]Lithium Qualified Studies'!M16),"",'[1]Lithium Qualified Studies'!M16)</f>
        <v/>
      </c>
      <c r="U43" s="3" t="str">
        <f>IF(ISBLANK('[1]Lithium Qualified Studies'!N16),"",'[1]Lithium Qualified Studies'!N16)</f>
        <v/>
      </c>
      <c r="V43" s="8"/>
      <c r="W43" s="9"/>
    </row>
    <row r="44" spans="7:23" x14ac:dyDescent="0.3">
      <c r="G44" s="1" t="str">
        <f t="shared" si="6"/>
        <v/>
      </c>
      <c r="H44" s="3" t="str">
        <f>IF(ISBLANK('[1]Lithium Qualified Studies'!A17),"",'[1]Lithium Qualified Studies'!A17)</f>
        <v/>
      </c>
      <c r="I44" s="3" t="str">
        <f>IF(ISBLANK('[1]Lithium Qualified Studies'!B17),"",'[1]Lithium Qualified Studies'!B17)</f>
        <v/>
      </c>
      <c r="J44" s="3" t="str">
        <f>IF(ISBLANK('[1]Lithium Qualified Studies'!C17),"",'[1]Lithium Qualified Studies'!C17)</f>
        <v/>
      </c>
      <c r="K44" s="3" t="str">
        <f>IF(ISBLANK('[1]Lithium Qualified Studies'!D17),"",'[1]Lithium Qualified Studies'!D17)</f>
        <v/>
      </c>
      <c r="L44" s="3" t="str">
        <f>IF(ISBLANK('[1]Lithium Qualified Studies'!E17),"",'[1]Lithium Qualified Studies'!E17)</f>
        <v/>
      </c>
      <c r="M44" s="3" t="str">
        <f>IF(ISBLANK('[1]Lithium Qualified Studies'!F17),"",'[1]Lithium Qualified Studies'!F17)</f>
        <v/>
      </c>
      <c r="N44" s="3" t="str">
        <f>IF(ISBLANK('[1]Lithium Qualified Studies'!G17),"",'[1]Lithium Qualified Studies'!G17)</f>
        <v/>
      </c>
      <c r="O44" s="3" t="str">
        <f>IF(ISBLANK('[1]Lithium Qualified Studies'!H17),"",'[1]Lithium Qualified Studies'!H17)</f>
        <v/>
      </c>
      <c r="P44" s="3" t="str">
        <f>IF(ISBLANK('[1]Lithium Qualified Studies'!I17),"",'[1]Lithium Qualified Studies'!I17)</f>
        <v/>
      </c>
      <c r="Q44" s="3" t="str">
        <f>IF(ISBLANK('[1]Lithium Qualified Studies'!J17),"",'[1]Lithium Qualified Studies'!J17)</f>
        <v/>
      </c>
      <c r="R44" s="3" t="str">
        <f>IF(ISBLANK('[1]Lithium Qualified Studies'!K17),"",'[1]Lithium Qualified Studies'!K17)</f>
        <v/>
      </c>
      <c r="S44" s="3" t="str">
        <f>IF(ISBLANK('[1]Lithium Qualified Studies'!L17),"",'[1]Lithium Qualified Studies'!L17)</f>
        <v/>
      </c>
      <c r="T44" s="3" t="str">
        <f>IF(ISBLANK('[1]Lithium Qualified Studies'!M17),"",'[1]Lithium Qualified Studies'!M17)</f>
        <v/>
      </c>
      <c r="U44" s="3" t="str">
        <f>IF(ISBLANK('[1]Lithium Qualified Studies'!N17),"",'[1]Lithium Qualified Studies'!N17)</f>
        <v/>
      </c>
      <c r="V44" s="8"/>
      <c r="W44" s="9"/>
    </row>
    <row r="45" spans="7:23" x14ac:dyDescent="0.3">
      <c r="G45" s="1" t="str">
        <f t="shared" si="6"/>
        <v/>
      </c>
      <c r="H45" s="3" t="str">
        <f>IF(ISBLANK('[1]Lithium Qualified Studies'!A18),"",'[1]Lithium Qualified Studies'!A18)</f>
        <v/>
      </c>
      <c r="I45" s="3" t="str">
        <f>IF(ISBLANK('[1]Lithium Qualified Studies'!B18),"",'[1]Lithium Qualified Studies'!B18)</f>
        <v/>
      </c>
      <c r="J45" s="3" t="str">
        <f>IF(ISBLANK('[1]Lithium Qualified Studies'!C18),"",'[1]Lithium Qualified Studies'!C18)</f>
        <v/>
      </c>
      <c r="K45" s="3" t="str">
        <f>IF(ISBLANK('[1]Lithium Qualified Studies'!D18),"",'[1]Lithium Qualified Studies'!D18)</f>
        <v/>
      </c>
      <c r="L45" s="3" t="str">
        <f>IF(ISBLANK('[1]Lithium Qualified Studies'!E18),"",'[1]Lithium Qualified Studies'!E18)</f>
        <v/>
      </c>
      <c r="M45" s="3" t="str">
        <f>IF(ISBLANK('[1]Lithium Qualified Studies'!F18),"",'[1]Lithium Qualified Studies'!F18)</f>
        <v/>
      </c>
      <c r="N45" s="3" t="str">
        <f>IF(ISBLANK('[1]Lithium Qualified Studies'!G18),"",'[1]Lithium Qualified Studies'!G18)</f>
        <v/>
      </c>
      <c r="O45" s="3" t="str">
        <f>IF(ISBLANK('[1]Lithium Qualified Studies'!H18),"",'[1]Lithium Qualified Studies'!H18)</f>
        <v/>
      </c>
      <c r="P45" s="3" t="str">
        <f>IF(ISBLANK('[1]Lithium Qualified Studies'!I18),"",'[1]Lithium Qualified Studies'!I18)</f>
        <v/>
      </c>
      <c r="Q45" s="3" t="str">
        <f>IF(ISBLANK('[1]Lithium Qualified Studies'!J18),"",'[1]Lithium Qualified Studies'!J18)</f>
        <v/>
      </c>
      <c r="R45" s="3" t="str">
        <f>IF(ISBLANK('[1]Lithium Qualified Studies'!K18),"",'[1]Lithium Qualified Studies'!K18)</f>
        <v/>
      </c>
      <c r="S45" s="3" t="str">
        <f>IF(ISBLANK('[1]Lithium Qualified Studies'!L18),"",'[1]Lithium Qualified Studies'!L18)</f>
        <v/>
      </c>
      <c r="T45" s="3" t="str">
        <f>IF(ISBLANK('[1]Lithium Qualified Studies'!M18),"",'[1]Lithium Qualified Studies'!M18)</f>
        <v/>
      </c>
      <c r="U45" s="3" t="str">
        <f>IF(ISBLANK('[1]Lithium Qualified Studies'!N18),"",'[1]Lithium Qualified Studies'!N18)</f>
        <v/>
      </c>
      <c r="V45" s="8"/>
      <c r="W45" s="9"/>
    </row>
    <row r="46" spans="7:23" x14ac:dyDescent="0.3">
      <c r="G46" s="1" t="str">
        <f t="shared" si="6"/>
        <v/>
      </c>
      <c r="H46" s="3" t="str">
        <f>IF(ISBLANK('[1]Lithium Qualified Studies'!A19),"",'[1]Lithium Qualified Studies'!A19)</f>
        <v/>
      </c>
      <c r="I46" s="3" t="str">
        <f>IF(ISBLANK('[1]Lithium Qualified Studies'!B19),"",'[1]Lithium Qualified Studies'!B19)</f>
        <v/>
      </c>
      <c r="J46" s="3" t="str">
        <f>IF(ISBLANK('[1]Lithium Qualified Studies'!C19),"",'[1]Lithium Qualified Studies'!C19)</f>
        <v/>
      </c>
      <c r="K46" s="3" t="str">
        <f>IF(ISBLANK('[1]Lithium Qualified Studies'!D19),"",'[1]Lithium Qualified Studies'!D19)</f>
        <v/>
      </c>
      <c r="L46" s="3" t="str">
        <f>IF(ISBLANK('[1]Lithium Qualified Studies'!E19),"",'[1]Lithium Qualified Studies'!E19)</f>
        <v/>
      </c>
      <c r="M46" s="3" t="str">
        <f>IF(ISBLANK('[1]Lithium Qualified Studies'!F19),"",'[1]Lithium Qualified Studies'!F19)</f>
        <v/>
      </c>
      <c r="N46" s="3" t="str">
        <f>IF(ISBLANK('[1]Lithium Qualified Studies'!G19),"",'[1]Lithium Qualified Studies'!G19)</f>
        <v/>
      </c>
      <c r="O46" s="3" t="str">
        <f>IF(ISBLANK('[1]Lithium Qualified Studies'!H19),"",'[1]Lithium Qualified Studies'!H19)</f>
        <v/>
      </c>
      <c r="P46" s="3" t="str">
        <f>IF(ISBLANK('[1]Lithium Qualified Studies'!I19),"",'[1]Lithium Qualified Studies'!I19)</f>
        <v/>
      </c>
      <c r="Q46" s="3" t="str">
        <f>IF(ISBLANK('[1]Lithium Qualified Studies'!J19),"",'[1]Lithium Qualified Studies'!J19)</f>
        <v/>
      </c>
      <c r="R46" s="3" t="str">
        <f>IF(ISBLANK('[1]Lithium Qualified Studies'!K19),"",'[1]Lithium Qualified Studies'!K19)</f>
        <v/>
      </c>
      <c r="S46" s="3" t="str">
        <f>IF(ISBLANK('[1]Lithium Qualified Studies'!L19),"",'[1]Lithium Qualified Studies'!L19)</f>
        <v/>
      </c>
      <c r="T46" s="3" t="str">
        <f>IF(ISBLANK('[1]Lithium Qualified Studies'!M19),"",'[1]Lithium Qualified Studies'!M19)</f>
        <v/>
      </c>
      <c r="U46" s="3" t="str">
        <f>IF(ISBLANK('[1]Lithium Qualified Studies'!N19),"",'[1]Lithium Qualified Studies'!N19)</f>
        <v/>
      </c>
      <c r="V46" s="8"/>
      <c r="W46" s="9"/>
    </row>
    <row r="47" spans="7:23" x14ac:dyDescent="0.3">
      <c r="G47" s="1" t="str">
        <f t="shared" si="6"/>
        <v/>
      </c>
      <c r="H47" s="3" t="str">
        <f>IF(ISBLANK('[1]Lithium Qualified Studies'!A20),"",'[1]Lithium Qualified Studies'!A20)</f>
        <v/>
      </c>
      <c r="I47" s="3" t="str">
        <f>IF(ISBLANK('[1]Lithium Qualified Studies'!B20),"",'[1]Lithium Qualified Studies'!B20)</f>
        <v/>
      </c>
      <c r="J47" s="3" t="str">
        <f>IF(ISBLANK('[1]Lithium Qualified Studies'!C20),"",'[1]Lithium Qualified Studies'!C20)</f>
        <v/>
      </c>
      <c r="K47" s="3" t="str">
        <f>IF(ISBLANK('[1]Lithium Qualified Studies'!D20),"",'[1]Lithium Qualified Studies'!D20)</f>
        <v/>
      </c>
      <c r="L47" s="3" t="str">
        <f>IF(ISBLANK('[1]Lithium Qualified Studies'!E20),"",'[1]Lithium Qualified Studies'!E20)</f>
        <v/>
      </c>
      <c r="M47" s="3" t="str">
        <f>IF(ISBLANK('[1]Lithium Qualified Studies'!F20),"",'[1]Lithium Qualified Studies'!F20)</f>
        <v/>
      </c>
      <c r="N47" s="3" t="str">
        <f>IF(ISBLANK('[1]Lithium Qualified Studies'!G20),"",'[1]Lithium Qualified Studies'!G20)</f>
        <v/>
      </c>
      <c r="O47" s="3" t="str">
        <f>IF(ISBLANK('[1]Lithium Qualified Studies'!H20),"",'[1]Lithium Qualified Studies'!H20)</f>
        <v/>
      </c>
      <c r="P47" s="3" t="str">
        <f>IF(ISBLANK('[1]Lithium Qualified Studies'!I20),"",'[1]Lithium Qualified Studies'!I20)</f>
        <v/>
      </c>
      <c r="Q47" s="3" t="str">
        <f>IF(ISBLANK('[1]Lithium Qualified Studies'!J20),"",'[1]Lithium Qualified Studies'!J20)</f>
        <v/>
      </c>
      <c r="R47" s="3" t="str">
        <f>IF(ISBLANK('[1]Lithium Qualified Studies'!K20),"",'[1]Lithium Qualified Studies'!K20)</f>
        <v/>
      </c>
      <c r="S47" s="3" t="str">
        <f>IF(ISBLANK('[1]Lithium Qualified Studies'!L20),"",'[1]Lithium Qualified Studies'!L20)</f>
        <v/>
      </c>
      <c r="T47" s="3" t="str">
        <f>IF(ISBLANK('[1]Lithium Qualified Studies'!M20),"",'[1]Lithium Qualified Studies'!M20)</f>
        <v/>
      </c>
      <c r="U47" s="3" t="str">
        <f>IF(ISBLANK('[1]Lithium Qualified Studies'!N20),"",'[1]Lithium Qualified Studies'!N20)</f>
        <v/>
      </c>
      <c r="V47" s="8"/>
      <c r="W47" s="9"/>
    </row>
    <row r="48" spans="7:23" x14ac:dyDescent="0.3">
      <c r="G48" s="1" t="str">
        <f t="shared" si="6"/>
        <v/>
      </c>
      <c r="H48" s="3" t="str">
        <f>IF(ISBLANK('[1]Lithium Qualified Studies'!A21),"",'[1]Lithium Qualified Studies'!A21)</f>
        <v/>
      </c>
      <c r="I48" s="3" t="str">
        <f>IF(ISBLANK('[1]Lithium Qualified Studies'!B21),"",'[1]Lithium Qualified Studies'!B21)</f>
        <v/>
      </c>
      <c r="J48" s="3" t="str">
        <f>IF(ISBLANK('[1]Lithium Qualified Studies'!C21),"",'[1]Lithium Qualified Studies'!C21)</f>
        <v/>
      </c>
      <c r="K48" s="3" t="str">
        <f>IF(ISBLANK('[1]Lithium Qualified Studies'!D21),"",'[1]Lithium Qualified Studies'!D21)</f>
        <v/>
      </c>
      <c r="L48" s="3" t="str">
        <f>IF(ISBLANK('[1]Lithium Qualified Studies'!E21),"",'[1]Lithium Qualified Studies'!E21)</f>
        <v/>
      </c>
      <c r="M48" s="3" t="str">
        <f>IF(ISBLANK('[1]Lithium Qualified Studies'!F21),"",'[1]Lithium Qualified Studies'!F21)</f>
        <v/>
      </c>
      <c r="N48" s="3" t="str">
        <f>IF(ISBLANK('[1]Lithium Qualified Studies'!G21),"",'[1]Lithium Qualified Studies'!G21)</f>
        <v/>
      </c>
      <c r="O48" s="3" t="str">
        <f>IF(ISBLANK('[1]Lithium Qualified Studies'!H21),"",'[1]Lithium Qualified Studies'!H21)</f>
        <v/>
      </c>
      <c r="P48" s="3" t="str">
        <f>IF(ISBLANK('[1]Lithium Qualified Studies'!I21),"",'[1]Lithium Qualified Studies'!I21)</f>
        <v/>
      </c>
      <c r="Q48" s="3" t="str">
        <f>IF(ISBLANK('[1]Lithium Qualified Studies'!J21),"",'[1]Lithium Qualified Studies'!J21)</f>
        <v/>
      </c>
      <c r="R48" s="3" t="str">
        <f>IF(ISBLANK('[1]Lithium Qualified Studies'!K21),"",'[1]Lithium Qualified Studies'!K21)</f>
        <v/>
      </c>
      <c r="S48" s="3" t="str">
        <f>IF(ISBLANK('[1]Lithium Qualified Studies'!L21),"",'[1]Lithium Qualified Studies'!L21)</f>
        <v/>
      </c>
      <c r="T48" s="3" t="str">
        <f>IF(ISBLANK('[1]Lithium Qualified Studies'!M21),"",'[1]Lithium Qualified Studies'!M21)</f>
        <v/>
      </c>
      <c r="U48" s="3" t="str">
        <f>IF(ISBLANK('[1]Lithium Qualified Studies'!N21),"",'[1]Lithium Qualified Studies'!N21)</f>
        <v/>
      </c>
      <c r="V48" s="8"/>
      <c r="W48" s="9"/>
    </row>
  </sheetData>
  <mergeCells count="7">
    <mergeCell ref="H27:U27"/>
    <mergeCell ref="V27:W27"/>
    <mergeCell ref="A1:F1"/>
    <mergeCell ref="H2:K2"/>
    <mergeCell ref="M2:P2"/>
    <mergeCell ref="R2:U2"/>
    <mergeCell ref="W2:Z2"/>
  </mergeCells>
  <conditionalFormatting sqref="G1:G1048576">
    <cfRule type="containsText" dxfId="3" priority="1" operator="containsText" text="ERROR">
      <formula>NOT(ISERROR(SEARCH("ERROR",G1)))</formula>
    </cfRule>
  </conditionalFormatting>
  <pageMargins left="0.7" right="0.7" top="0.78740157499999996" bottom="0.78740157499999996"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37EA-00D3-4BB2-8307-CFA1D3101FDE}">
  <dimension ref="A1:AK52"/>
  <sheetViews>
    <sheetView zoomScale="70" zoomScaleNormal="70" workbookViewId="0">
      <selection sqref="A1:C1"/>
    </sheetView>
  </sheetViews>
  <sheetFormatPr defaultColWidth="9.109375" defaultRowHeight="14.4" x14ac:dyDescent="0.3"/>
  <cols>
    <col min="1" max="4" width="9.109375" style="1" customWidth="1"/>
    <col min="5" max="5" width="19.6640625" style="1" customWidth="1"/>
    <col min="6" max="9" width="9.109375" style="1" customWidth="1"/>
    <col min="10" max="10" width="16.6640625" style="1" customWidth="1"/>
    <col min="11" max="17" width="9.109375" style="1" customWidth="1"/>
    <col min="18" max="18" width="10.109375" style="1" customWidth="1"/>
    <col min="19" max="19" width="15.6640625" style="1" customWidth="1"/>
    <col min="20" max="20" width="20" style="1" customWidth="1"/>
    <col min="21" max="22" width="9.109375" style="1" customWidth="1"/>
    <col min="23" max="30" width="9.109375" style="1"/>
    <col min="31" max="31" width="36" style="1" customWidth="1"/>
    <col min="32" max="16384" width="9.109375" style="1"/>
  </cols>
  <sheetData>
    <row r="1" spans="1:37" x14ac:dyDescent="0.3">
      <c r="A1" s="108" t="s">
        <v>107</v>
      </c>
      <c r="B1" s="108"/>
      <c r="C1" s="108"/>
      <c r="E1" s="88" t="s">
        <v>139</v>
      </c>
      <c r="F1" s="88"/>
      <c r="G1" s="88"/>
      <c r="H1" s="88"/>
      <c r="I1" s="88"/>
      <c r="J1" s="88"/>
      <c r="K1" s="88"/>
      <c r="L1" s="88"/>
      <c r="M1" s="88"/>
      <c r="N1" s="88"/>
      <c r="O1" s="88"/>
      <c r="P1" s="88"/>
      <c r="Q1" s="88"/>
      <c r="R1" s="88"/>
      <c r="S1" s="109" t="s">
        <v>112</v>
      </c>
      <c r="T1" s="109"/>
      <c r="V1" s="88" t="s">
        <v>144</v>
      </c>
      <c r="W1" s="88"/>
      <c r="X1" s="88"/>
      <c r="Y1" s="88"/>
      <c r="Z1" s="88"/>
      <c r="AA1" s="88"/>
      <c r="AB1" s="88"/>
      <c r="AC1" s="88"/>
      <c r="AD1" s="88"/>
      <c r="AE1" s="88"/>
    </row>
    <row r="2" spans="1:37" ht="60" customHeight="1" x14ac:dyDescent="0.3">
      <c r="A2" s="2" t="s">
        <v>34</v>
      </c>
      <c r="B2" s="2" t="s">
        <v>108</v>
      </c>
      <c r="C2" s="2" t="s">
        <v>65</v>
      </c>
      <c r="D2" s="1" t="s">
        <v>35</v>
      </c>
      <c r="E2" s="3" t="str">
        <f>IF(ISBLANK('[1]Lithium Qualified Studies'!A1),"",'[1]Lithium Qualified Studies'!A1)</f>
        <v>Source</v>
      </c>
      <c r="F2" s="3" t="str">
        <f>IF(ISBLANK('[1]Cobalt Qualified Studies'!B1),"",'[1]Cobalt Qualified Studies'!B1)</f>
        <v>Title</v>
      </c>
      <c r="G2" s="3" t="str">
        <f>IF(ISBLANK('[1]Cobalt Qualified Studies'!C1),"",'[1]Cobalt Qualified Studies'!C1)</f>
        <v>Link</v>
      </c>
      <c r="H2" s="3" t="str">
        <f>IF(ISBLANK('[1]Cobalt Qualified Studies'!D1),"",'[1]Cobalt Qualified Studies'!D1)</f>
        <v>Source type</v>
      </c>
      <c r="I2" s="3" t="str">
        <f>IF(ISBLANK('[1]Cobalt Qualified Studies'!E1),"",'[1]Cobalt Qualified Studies'!E1)</f>
        <v>Total emissions [kgCO2eq/kg]</v>
      </c>
      <c r="J2" s="7" t="str">
        <f>IF(ISBLANK('[1]Cobalt Qualified Studies'!F1),"",'[1]Cobalt Qualified Studies'!F1)</f>
        <v>Harmonised emissions kg_CO2eq/kg_CoSO4_anhydrous]</v>
      </c>
      <c r="K2" s="3" t="str">
        <f>IF(ISBLANK('[1]Cobalt Qualified Studies'!G1),"",'[1]Cobalt Qualified Studies'!G1)</f>
        <v>Primary data?</v>
      </c>
      <c r="L2" s="3" t="str">
        <f>IF(ISBLANK('[1]Cobalt Qualified Studies'!H1),"",'[1]Cobalt Qualified Studies'!H1)</f>
        <v>Functional unit?</v>
      </c>
      <c r="M2" s="3" t="str">
        <f>IF(ISBLANK('[1]Cobalt Qualified Studies'!I1),"",'[1]Cobalt Qualified Studies'!I1)</f>
        <v>System boundaries</v>
      </c>
      <c r="N2" s="3" t="str">
        <f>IF(ISBLANK('[1]Cobalt Qualified Studies'!J1),"",'[1]Cobalt Qualified Studies'!J1)</f>
        <v>Methodological transparency</v>
      </c>
      <c r="O2" s="3" t="str">
        <f>IF(ISBLANK('[1]Cobalt Qualified Studies'!K1),"",'[1]Cobalt Qualified Studies'!K1)</f>
        <v>Process / ore type?</v>
      </c>
      <c r="P2" s="3" t="str">
        <f>IF(ISBLANK('[1]Cobalt Qualified Studies'!L1),"",'[1]Cobalt Qualified Studies'!L1)</f>
        <v>Found via</v>
      </c>
      <c r="Q2" s="3" t="str">
        <f>IF(ISBLANK('[1]Cobalt Qualified Studies'!M1),"",'[1]Cobalt Qualified Studies'!M1)</f>
        <v>Location of production</v>
      </c>
      <c r="R2" s="3" t="str">
        <f>IF(ISBLANK('[1]Cobalt Qualified Studies'!N1),"",'[1]Cobalt Qualified Studies'!N1)</f>
        <v>Mine</v>
      </c>
      <c r="S2" s="4" t="s">
        <v>105</v>
      </c>
      <c r="T2" s="5" t="s">
        <v>109</v>
      </c>
      <c r="U2" s="6"/>
      <c r="V2" s="7" t="str">
        <f>IF(ISBLANK('[1]Cobalt Peripheral Studies'!A1),"",'[1]Cobalt Peripheral Studies'!A1)</f>
        <v>Source</v>
      </c>
      <c r="W2" s="7" t="str">
        <f>IF(ISBLANK('[1]Cobalt Peripheral Studies'!B1),"",'[1]Cobalt Peripheral Studies'!B1)</f>
        <v>Titel</v>
      </c>
      <c r="X2" s="7" t="str">
        <f>IF(ISBLANK('[1]Cobalt Peripheral Studies'!C1),"",'[1]Cobalt Peripheral Studies'!C1)</f>
        <v>Link</v>
      </c>
      <c r="Y2" s="7" t="str">
        <f>IF(ISBLANK('[1]Cobalt Peripheral Studies'!D1),"",'[1]Cobalt Peripheral Studies'!D1)</f>
        <v>Source type</v>
      </c>
      <c r="Z2" s="7" t="str">
        <f>IF(ISBLANK('[1]Cobalt Peripheral Studies'!E1),"",'[1]Cobalt Peripheral Studies'!E1)</f>
        <v>Total emissions</v>
      </c>
      <c r="AA2" s="7" t="str">
        <f>IF(ISBLANK('[1]Cobalt Peripheral Studies'!F1),"",'[1]Cobalt Peripheral Studies'!F1)</f>
        <v>Primary data?</v>
      </c>
      <c r="AB2" s="7" t="str">
        <f>IF(ISBLANK('[1]Cobalt Peripheral Studies'!G1),"",'[1]Cobalt Peripheral Studies'!G1)</f>
        <v>Functional unit?</v>
      </c>
      <c r="AC2" s="7" t="str">
        <f>IF(ISBLANK('[1]Cobalt Peripheral Studies'!H1),"",'[1]Cobalt Peripheral Studies'!H1)</f>
        <v>System boundaries</v>
      </c>
      <c r="AD2" s="7" t="str">
        <f>IF(ISBLANK('[1]Cobalt Peripheral Studies'!I1),"",'[1]Cobalt Peripheral Studies'!I1)</f>
        <v>Methodological transparency</v>
      </c>
      <c r="AE2" s="7" t="str">
        <f>IF(ISBLANK('[1]Cobalt Peripheral Studies'!J1),"",'[1]Cobalt Peripheral Studies'!J1)</f>
        <v>Process / ore type?</v>
      </c>
      <c r="AF2" s="6"/>
      <c r="AG2" s="6"/>
      <c r="AH2" s="6"/>
      <c r="AI2" s="6"/>
      <c r="AJ2" s="6"/>
      <c r="AK2" s="6"/>
    </row>
    <row r="3" spans="1:37" ht="44.55" customHeight="1" x14ac:dyDescent="0.3">
      <c r="A3" s="2" t="s">
        <v>37</v>
      </c>
      <c r="B3" s="2">
        <v>7.25</v>
      </c>
      <c r="C3" s="2" t="s">
        <v>67</v>
      </c>
      <c r="D3" s="1" t="str">
        <f>IF(E3="Zhang et al. (2021)","","ERROR - check row order of Notion export")</f>
        <v/>
      </c>
      <c r="E3" s="3" t="str">
        <f>IF(ISBLANK('[1]Cobalt Qualified Studies'!A2),"",'[1]Cobalt Qualified Studies'!A2)</f>
        <v>Zhang et al. (2021)</v>
      </c>
      <c r="F3" s="3" t="str">
        <f>IF(ISBLANK('[1]Cobalt Qualified Studies'!B2),"",'[1]Cobalt Qualified Studies'!B2)</f>
        <v>Cradle-to-gate life cycle assessment of cobalt sulfate production derived from a nickel–copper–cobalt mine in China.</v>
      </c>
      <c r="G3" s="3" t="str">
        <f>IF(ISBLANK('[1]Cobalt Qualified Studies'!C2),"",'[1]Cobalt Qualified Studies'!C2)</f>
        <v>https://doi.org/10.1007/s11367-021-01925-x</v>
      </c>
      <c r="H3" s="3" t="str">
        <f>IF(ISBLANK('[1]Cobalt Qualified Studies'!D2),"",'[1]Cobalt Qualified Studies'!D2)</f>
        <v>Literature</v>
      </c>
      <c r="I3" s="3" t="str">
        <f>IF(ISBLANK('[1]Cobalt Qualified Studies'!E2),"",'[1]Cobalt Qualified Studies'!E2)</f>
        <v>3.56 × 10⁴ kg CO2-eq / ton CoSO4.7(H2O)</v>
      </c>
      <c r="J3" s="3" t="str">
        <f>IF(ISBLANK('[1]Cobalt Qualified Studies'!F2),"",'[1]Cobalt Qualified Studies'!F2)</f>
        <v>64.56 kg_CO2e/kg_CoSO4_anh</v>
      </c>
      <c r="K3" s="3" t="str">
        <f>IF(ISBLANK('[1]Cobalt Qualified Studies'!G2),"",'[1]Cobalt Qualified Studies'!G2)</f>
        <v xml:space="preserve"> Yes
They used actual operation data for mining and benefication, for cobalt concentration data from an experiment (https://doi.org/10.3969/j.issn.1671-9492.2018.05.005), secondary data support from CPLCID + Ecoinvent adjusted to chinese state quo to bridge data gaps.</v>
      </c>
      <c r="L3" s="3" t="str">
        <f>IF(ISBLANK('[1]Cobalt Qualified Studies'!H2),"",'[1]Cobalt Qualified Studies'!H2)</f>
        <v>1 ton CoSO4.7(H2O)</v>
      </c>
      <c r="M3" s="3" t="str">
        <f>IF(ISBLANK('[1]Cobalt Qualified Studies'!I2),"",'[1]Cobalt Qualified Studies'!I2)</f>
        <v>see screenshot</v>
      </c>
      <c r="N3" s="3" t="str">
        <f>IF(ISBLANK('[1]Cobalt Qualified Studies'!J2),"",'[1]Cobalt Qualified Studies'!J2)</f>
        <v>++ transparent</v>
      </c>
      <c r="O3" s="3" t="str">
        <f>IF(ISBLANK('[1]Cobalt Qualified Studies'!K2),"",'[1]Cobalt Qualified Studies'!K2)</f>
        <v>Cobalt sulfate, Cobalt-copper ores, Cobalt-nickel ores</v>
      </c>
      <c r="P3" s="3" t="str">
        <f>IF(ISBLANK('[1]Cobalt Qualified Studies'!L2),"",'[1]Cobalt Qualified Studies'!L2)</f>
        <v>systematic lit rev</v>
      </c>
      <c r="Q3" s="3" t="str">
        <f>IF(ISBLANK('[1]Cobalt Qualified Studies'!M2),"",'[1]Cobalt Qualified Studies'!M2)</f>
        <v>China</v>
      </c>
      <c r="R3" s="3" t="str">
        <f>IF(ISBLANK('[1]Cobalt Qualified Studies'!N2),"",'[1]Cobalt Qualified Studies'!N2)</f>
        <v>Kalatongke Mine</v>
      </c>
      <c r="S3" s="8" t="b">
        <v>0</v>
      </c>
      <c r="T3" s="5" t="s">
        <v>712</v>
      </c>
      <c r="U3" s="6"/>
      <c r="V3" s="7" t="str">
        <f>IF(ISBLANK('[1]Cobalt Peripheral Studies'!A2),"",'[1]Cobalt Peripheral Studies'!A2)</f>
        <v>Chordia et al (2021)</v>
      </c>
      <c r="W3" s="7" t="str">
        <f>IF(ISBLANK('[1]Cobalt Peripheral Studies'!B2),"",'[1]Cobalt Peripheral Studies'!B2)</f>
        <v xml:space="preserve">Environmental life cycle implications of upscaling lithium-ion battery production
</v>
      </c>
      <c r="X3" s="7" t="str">
        <f>IF(ISBLANK('[1]Cobalt Peripheral Studies'!C2),"",'[1]Cobalt Peripheral Studies'!C2)</f>
        <v>https://doi.org/10.1007/s11367-021-01976-0</v>
      </c>
      <c r="Y3" s="7" t="str">
        <f>IF(ISBLANK('[1]Cobalt Peripheral Studies'!D2),"",'[1]Cobalt Peripheral Studies'!D2)</f>
        <v>Literature</v>
      </c>
      <c r="Z3" s="7" t="str">
        <f>IF(ISBLANK('[1]Cobalt Peripheral Studies'!E2),"",'[1]Cobalt Peripheral Studies'!E2)</f>
        <v>The Small-3.7 model coupled to the reference scenario and exclusively primary metals results in 188 kg CO2-eq./kWh of total greenhouse gas (GHG) emissions, which reduce to 109 kg CO2-eq./kWh for the Giga-3.7 model. Further, when the Giga-3.7 model is coupled to the low-carbon scenario, the impacts reduce to 50 kg CO2-eq./kWh. The choice of using primary metals over recycled content has a relatively minor influence on global warming impacts in this study.</v>
      </c>
      <c r="AA3" s="7" t="str">
        <f>IF(ISBLANK('[1]Cobalt Peripheral Studies'!F2),"",'[1]Cobalt Peripheral Studies'!F2)</f>
        <v>partially 
Ecoinvent v3.7.1 + updated data → comments</v>
      </c>
      <c r="AB3" s="7" t="str">
        <f>IF(ISBLANK('[1]Cobalt Peripheral Studies'!G2),"",'[1]Cobalt Peripheral Studies'!G2)</f>
        <v>1 kWh storage capacity</v>
      </c>
      <c r="AC3" s="7" t="str">
        <f>IF(ISBLANK('[1]Cobalt Peripheral Studies'!H2),"",'[1]Cobalt Peripheral Studies'!H2)</f>
        <v>see screenshot</v>
      </c>
      <c r="AD3" s="7" t="str">
        <f>IF(ISBLANK('[1]Cobalt Peripheral Studies'!I2),"",'[1]Cobalt Peripheral Studies'!I2)</f>
        <v>+ transparent</v>
      </c>
      <c r="AE3" s="7" t="str">
        <f>IF(ISBLANK('[1]Cobalt Peripheral Studies'!J2),"",'[1]Cobalt Peripheral Studies'!J2)</f>
        <v>Cobalt sulfate</v>
      </c>
    </row>
    <row r="4" spans="1:37" ht="19.95" customHeight="1" x14ac:dyDescent="0.3">
      <c r="A4" s="2" t="s">
        <v>36</v>
      </c>
      <c r="B4" s="2">
        <v>9.4600000000000009</v>
      </c>
      <c r="C4" s="2" t="s">
        <v>66</v>
      </c>
      <c r="D4" s="1" t="str">
        <f>IF(E4="Cobalt Institute (2019)","","ERROR - check row order of Notion export")</f>
        <v/>
      </c>
      <c r="E4" s="3" t="str">
        <f>IF(ISBLANK('[1]Cobalt Qualified Studies'!A3),"",'[1]Cobalt Qualified Studies'!A3)</f>
        <v>Cobalt Institute (2019)</v>
      </c>
      <c r="F4" s="3" t="str">
        <f>IF(ISBLANK('[1]Cobalt Qualified Studies'!B3),"",'[1]Cobalt Qualified Studies'!B3)</f>
        <v>Cobalt Life Cycle Assessment</v>
      </c>
      <c r="G4" s="3" t="str">
        <f>IF(ISBLANK('[1]Cobalt Qualified Studies'!C3),"",'[1]Cobalt Qualified Studies'!C3)</f>
        <v>https://www.cobaltinstitute.org/sustainability/life-cycle-assessment/</v>
      </c>
      <c r="H4" s="3" t="str">
        <f>IF(ISBLANK('[1]Cobalt Qualified Studies'!D3),"",'[1]Cobalt Qualified Studies'!D3)</f>
        <v>Report</v>
      </c>
      <c r="I4" s="3" t="str">
        <f>IF(ISBLANK('[1]Cobalt Qualified Studies'!E3),"",'[1]Cobalt Qualified Studies'!E3)</f>
        <v>4,0 kg CO2 eq. / kg CoSO4.7(H2O)</v>
      </c>
      <c r="J4" s="3" t="str">
        <f>IF(ISBLANK('[1]Cobalt Qualified Studies'!F3),"",'[1]Cobalt Qualified Studies'!F3)</f>
        <v>7.25 kg_CO2e/kg_CoSO4_anh</v>
      </c>
      <c r="K4" s="3" t="str">
        <f>IF(ISBLANK('[1]Cobalt Qualified Studies'!G3),"",'[1]Cobalt Qualified Studies'!G3)</f>
        <v>Yes</v>
      </c>
      <c r="L4" s="3" t="str">
        <f>IF(ISBLANK('[1]Cobalt Qualified Studies'!H3),"",'[1]Cobalt Qualified Studies'!H3)</f>
        <v>1 kg CoSO4.7(H2O)</v>
      </c>
      <c r="M4" s="3" t="str">
        <f>IF(ISBLANK('[1]Cobalt Qualified Studies'!I3),"",'[1]Cobalt Qualified Studies'!I3)</f>
        <v>cradle-to-gate</v>
      </c>
      <c r="N4" s="3" t="str">
        <f>IF(ISBLANK('[1]Cobalt Qualified Studies'!J3),"",'[1]Cobalt Qualified Studies'!J3)</f>
        <v>++ transparent</v>
      </c>
      <c r="O4" s="3" t="str">
        <f>IF(ISBLANK('[1]Cobalt Qualified Studies'!K3),"",'[1]Cobalt Qualified Studies'!K3)</f>
        <v>Cobalt sulfate</v>
      </c>
      <c r="P4" s="3" t="str">
        <f>IF(ISBLANK('[1]Cobalt Qualified Studies'!L3),"",'[1]Cobalt Qualified Studies'!L3)</f>
        <v>google search</v>
      </c>
      <c r="Q4" s="3" t="str">
        <f>IF(ISBLANK('[1]Cobalt Qualified Studies'!M3),"",'[1]Cobalt Qualified Studies'!M3)</f>
        <v>Global</v>
      </c>
      <c r="R4" s="3" t="str">
        <f>IF(ISBLANK('[1]Cobalt Qualified Studies'!N3),"",'[1]Cobalt Qualified Studies'!N3)</f>
        <v>Industry average</v>
      </c>
      <c r="S4" s="8" t="b">
        <v>1</v>
      </c>
      <c r="T4" s="5"/>
      <c r="U4" s="6"/>
      <c r="V4" s="7" t="str">
        <f>IF(ISBLANK('[1]Cobalt Peripheral Studies'!A3),"",'[1]Cobalt Peripheral Studies'!A3)</f>
        <v>Jiao et al (2020)</v>
      </c>
      <c r="W4" s="7" t="str">
        <f>IF(ISBLANK('[1]Cobalt Peripheral Studies'!B3),"",'[1]Cobalt Peripheral Studies'!B3)</f>
        <v>Environmental Impacts Assessment of NCM Cathode Material
Production of Power Lithium-Ion Batteries</v>
      </c>
      <c r="X4" s="7" t="str">
        <f>IF(ISBLANK('[1]Cobalt Peripheral Studies'!C3),"",'[1]Cobalt Peripheral Studies'!C3)</f>
        <v>https://doi.org/10.4028/www.scientific.net/MSF.993.1456</v>
      </c>
      <c r="Y4" s="7" t="str">
        <f>IF(ISBLANK('[1]Cobalt Peripheral Studies'!D3),"",'[1]Cobalt Peripheral Studies'!D3)</f>
        <v>Literature</v>
      </c>
      <c r="Z4" s="7" t="str">
        <f>IF(ISBLANK('[1]Cobalt Peripheral Studies'!E3),"",'[1]Cobalt Peripheral Studies'!E3)</f>
        <v>-</v>
      </c>
      <c r="AA4" s="7" t="str">
        <f>IF(ISBLANK('[1]Cobalt Peripheral Studies'!F3),"",'[1]Cobalt Peripheral Studies'!F3)</f>
        <v>partially → say they did survey with manufacturers in Qingdao, China but data mainly from other sources</v>
      </c>
      <c r="AB4" s="7" t="str">
        <f>IF(ISBLANK('[1]Cobalt Peripheral Studies'!G3),"",'[1]Cobalt Peripheral Studies'!G3)</f>
        <v>1 kg of NCM</v>
      </c>
      <c r="AC4" s="7" t="str">
        <f>IF(ISBLANK('[1]Cobalt Peripheral Studies'!H3),"",'[1]Cobalt Peripheral Studies'!H3)</f>
        <v>see screenshot</v>
      </c>
      <c r="AD4" s="7" t="str">
        <f>IF(ISBLANK('[1]Cobalt Peripheral Studies'!I3),"",'[1]Cobalt Peripheral Studies'!I3)</f>
        <v>+ transparent, - intransparent</v>
      </c>
      <c r="AE4" s="7" t="str">
        <f>IF(ISBLANK('[1]Cobalt Peripheral Studies'!J3),"",'[1]Cobalt Peripheral Studies'!J3)</f>
        <v>Cobalt sulfate</v>
      </c>
    </row>
    <row r="5" spans="1:37" ht="19.95" customHeight="1" x14ac:dyDescent="0.3">
      <c r="A5" s="2" t="s">
        <v>106</v>
      </c>
      <c r="B5" s="2">
        <v>28.89</v>
      </c>
      <c r="C5" s="2" t="s">
        <v>69</v>
      </c>
      <c r="D5" s="1" t="str">
        <f>IF(E5="Crenna et al. (2021)","","ERROR - check row order of Notion export")</f>
        <v/>
      </c>
      <c r="E5" s="3" t="str">
        <f>IF(ISBLANK('[1]Cobalt Qualified Studies'!A4),"",'[1]Cobalt Qualified Studies'!A4)</f>
        <v>Crenna et al. (2021)</v>
      </c>
      <c r="F5" s="3" t="str">
        <f>IF(ISBLANK('[1]Cobalt Qualified Studies'!B4),"",'[1]Cobalt Qualified Studies'!B4)</f>
        <v>Towards more flexibility and transparency in life cycle inventories for Lithium-ion batteries</v>
      </c>
      <c r="G5" s="3" t="str">
        <f>IF(ISBLANK('[1]Cobalt Qualified Studies'!C4),"",'[1]Cobalt Qualified Studies'!C4)</f>
        <v>https://doi.org/10.1016/j.resconrec.2021.105619</v>
      </c>
      <c r="H5" s="3" t="str">
        <f>IF(ISBLANK('[1]Cobalt Qualified Studies'!D4),"",'[1]Cobalt Qualified Studies'!D4)</f>
        <v>Literature</v>
      </c>
      <c r="I5" s="3" t="str">
        <f>IF(ISBLANK('[1]Cobalt Qualified Studies'!E4),"",'[1]Cobalt Qualified Studies'!E4)</f>
        <v>9.46kg CO2 eq per 1 kg CoSO4 anh</v>
      </c>
      <c r="J5" s="3" t="str">
        <f>IF(ISBLANK('[1]Cobalt Qualified Studies'!F4),"",'[1]Cobalt Qualified Studies'!F4)</f>
        <v>9.46 kg_CO2e/kg_CoSO4_anh</v>
      </c>
      <c r="K5" s="3" t="str">
        <f>IF(ISBLANK('[1]Cobalt Qualified Studies'!G4),"",'[1]Cobalt Qualified Studies'!G4)</f>
        <v>partially → comments</v>
      </c>
      <c r="L5" s="3" t="str">
        <f>IF(ISBLANK('[1]Cobalt Qualified Studies'!H4),"",'[1]Cobalt Qualified Studies'!H4)</f>
        <v>1 kg CoSO4 anhydrous  (hypothesized bcs of close connection to ecoinvent which uses anhydrous compounds)</v>
      </c>
      <c r="M5" s="3" t="str">
        <f>IF(ISBLANK('[1]Cobalt Qualified Studies'!I4),"",'[1]Cobalt Qualified Studies'!I4)</f>
        <v>cradle to gate</v>
      </c>
      <c r="N5" s="3" t="str">
        <f>IF(ISBLANK('[1]Cobalt Qualified Studies'!J4),"",'[1]Cobalt Qualified Studies'!J4)</f>
        <v>-- intransparent</v>
      </c>
      <c r="O5" s="3" t="str">
        <f>IF(ISBLANK('[1]Cobalt Qualified Studies'!K4),"",'[1]Cobalt Qualified Studies'!K4)</f>
        <v>Cobalt sulfate, Cobalt-copper ores</v>
      </c>
      <c r="P5" s="3" t="str">
        <f>IF(ISBLANK('[1]Cobalt Qualified Studies'!L4),"",'[1]Cobalt Qualified Studies'!L4)</f>
        <v>connectedpapers.com</v>
      </c>
      <c r="Q5" s="3" t="str">
        <f>IF(ISBLANK('[1]Cobalt Qualified Studies'!M4),"",'[1]Cobalt Qualified Studies'!M4)</f>
        <v>China, DRC</v>
      </c>
      <c r="R5" s="3" t="str">
        <f>IF(ISBLANK('[1]Cobalt Qualified Studies'!N4),"",'[1]Cobalt Qualified Studies'!N4)</f>
        <v>Not specified</v>
      </c>
      <c r="S5" s="8" t="b">
        <v>1</v>
      </c>
      <c r="T5" s="9"/>
      <c r="V5" s="7" t="str">
        <f>IF(ISBLANK('[1]Cobalt Peripheral Studies'!A4),"",'[1]Cobalt Peripheral Studies'!A4)</f>
        <v>Kelly et al. (2020)</v>
      </c>
      <c r="W5" s="7" t="str">
        <f>IF(ISBLANK('[1]Cobalt Peripheral Studies'!B4),"",'[1]Cobalt Peripheral Studies'!B4)</f>
        <v>Globally regional life cycle analysis of automotive lithium-ion nickel manganese cobalt batteries</v>
      </c>
      <c r="X5" s="7" t="str">
        <f>IF(ISBLANK('[1]Cobalt Peripheral Studies'!C4),"",'[1]Cobalt Peripheral Studies'!C4)</f>
        <v>https://doi.org/10.1007/s11027-019-09869-2</v>
      </c>
      <c r="Y5" s="7" t="str">
        <f>IF(ISBLANK('[1]Cobalt Peripheral Studies'!D4),"",'[1]Cobalt Peripheral Studies'!D4)</f>
        <v>Literature</v>
      </c>
      <c r="Z5" s="7" t="str">
        <f>IF(ISBLANK('[1]Cobalt Peripheral Studies'!E4),"",'[1]Cobalt Peripheral Studies'!E4)</f>
        <v>no values for CoSo4 but for sure calculated → screenshot</v>
      </c>
      <c r="AA5" s="7" t="str">
        <f>IF(ISBLANK('[1]Cobalt Peripheral Studies'!F4),"",'[1]Cobalt Peripheral Studies'!F4)</f>
        <v>they used GREET but uses regional electricity mixes and supply chains</v>
      </c>
      <c r="AB5" s="7" t="str">
        <f>IF(ISBLANK('[1]Cobalt Peripheral Studies'!G4),"",'[1]Cobalt Peripheral Studies'!G4)</f>
        <v xml:space="preserve">1 kWh → comment
</v>
      </c>
      <c r="AC5" s="7" t="str">
        <f>IF(ISBLANK('[1]Cobalt Peripheral Studies'!H4),"",'[1]Cobalt Peripheral Studies'!H4)</f>
        <v>Screenshot</v>
      </c>
      <c r="AD5" s="7" t="str">
        <f>IF(ISBLANK('[1]Cobalt Peripheral Studies'!I4),"",'[1]Cobalt Peripheral Studies'!I4)</f>
        <v>- intransparent</v>
      </c>
      <c r="AE5" s="7" t="str">
        <f>IF(ISBLANK('[1]Cobalt Peripheral Studies'!J4),"",'[1]Cobalt Peripheral Studies'!J4)</f>
        <v>Cobalt sulfate</v>
      </c>
    </row>
    <row r="6" spans="1:37" ht="46.95" customHeight="1" x14ac:dyDescent="0.3">
      <c r="A6" s="2" t="s">
        <v>88</v>
      </c>
      <c r="B6" s="2">
        <v>9.6999999999999993</v>
      </c>
      <c r="C6" s="2" t="s">
        <v>69</v>
      </c>
      <c r="D6" s="1" t="str">
        <f>IF(E6="Rinne et al. (2021)","","ERROR - check row order of Notion export")</f>
        <v/>
      </c>
      <c r="E6" s="3" t="str">
        <f>IF(ISBLANK('[1]Cobalt Qualified Studies'!A5),"",'[1]Cobalt Qualified Studies'!A5)</f>
        <v>Rinne et al. (2021)</v>
      </c>
      <c r="F6" s="3" t="str">
        <f>IF(ISBLANK('[1]Cobalt Qualified Studies'!B5),"",'[1]Cobalt Qualified Studies'!B5)</f>
        <v>Life cycle assessment and process simulation of prospective battery-grade cobalt sulfate production from Co-Au ores in Finland</v>
      </c>
      <c r="G6" s="3" t="str">
        <f>IF(ISBLANK('[1]Cobalt Qualified Studies'!C5),"",'[1]Cobalt Qualified Studies'!C5)</f>
        <v>https://doi.org/10.1007/s11367-021-01965-3</v>
      </c>
      <c r="H6" s="3" t="str">
        <f>IF(ISBLANK('[1]Cobalt Qualified Studies'!D5),"",'[1]Cobalt Qualified Studies'!D5)</f>
        <v>Literature</v>
      </c>
      <c r="I6" s="3" t="str">
        <f>IF(ISBLANK('[1]Cobalt Qualified Studies'!E5),"",'[1]Cobalt Qualified Studies'!E5)</f>
        <v xml:space="preserve">20.9 kg CO2-eq / kg CoSO4.7(H2O) </v>
      </c>
      <c r="J6" s="3" t="str">
        <f>IF(ISBLANK('[1]Cobalt Qualified Studies'!F5),"",'[1]Cobalt Qualified Studies'!F5)</f>
        <v>37.90 kg_CO2e/kg_CoSO4_anh</v>
      </c>
      <c r="K6" s="3" t="str">
        <f>IF(ISBLANK('[1]Cobalt Qualified Studies'!G5),"",'[1]Cobalt Qualified Studies'!G5)</f>
        <v>modelled LCI based on literature review</v>
      </c>
      <c r="L6" s="3" t="str">
        <f>IF(ISBLANK('[1]Cobalt Qualified Studies'!H5),"",'[1]Cobalt Qualified Studies'!H5)</f>
        <v>1 kg CoSO4.7(H2O)</v>
      </c>
      <c r="M6" s="3" t="str">
        <f>IF(ISBLANK('[1]Cobalt Qualified Studies'!I5),"",'[1]Cobalt Qualified Studies'!I5)</f>
        <v>see screenshot</v>
      </c>
      <c r="N6" s="3" t="str">
        <f>IF(ISBLANK('[1]Cobalt Qualified Studies'!J5),"",'[1]Cobalt Qualified Studies'!J5)</f>
        <v>++ transparent</v>
      </c>
      <c r="O6" s="3" t="str">
        <f>IF(ISBLANK('[1]Cobalt Qualified Studies'!K5),"",'[1]Cobalt Qualified Studies'!K5)</f>
        <v>Co-Au ores, Cobalt sulfate</v>
      </c>
      <c r="P6" s="3" t="str">
        <f>IF(ISBLANK('[1]Cobalt Qualified Studies'!L5),"",'[1]Cobalt Qualified Studies'!L5)</f>
        <v>systematic lit rev</v>
      </c>
      <c r="Q6" s="3" t="str">
        <f>IF(ISBLANK('[1]Cobalt Qualified Studies'!M5),"",'[1]Cobalt Qualified Studies'!M5)</f>
        <v>Finland</v>
      </c>
      <c r="R6" s="3" t="str">
        <f>IF(ISBLANK('[1]Cobalt Qualified Studies'!N5),"",'[1]Cobalt Qualified Studies'!N5)</f>
        <v>Rajapalot gold-cobalt prospect</v>
      </c>
      <c r="S6" s="8" t="b">
        <v>0</v>
      </c>
      <c r="T6" s="5" t="s">
        <v>712</v>
      </c>
      <c r="V6" s="7" t="str">
        <f>IF(ISBLANK('[1]Cobalt Peripheral Studies'!A5),"",'[1]Cobalt Peripheral Studies'!A5)</f>
        <v>Farjana et al. (2019)</v>
      </c>
      <c r="W6" s="7" t="str">
        <f>IF(ISBLANK('[1]Cobalt Peripheral Studies'!B5),"",'[1]Cobalt Peripheral Studies'!B5)</f>
        <v>Life cycle assessment of cobalt extraction process</v>
      </c>
      <c r="X6" s="7" t="str">
        <f>IF(ISBLANK('[1]Cobalt Peripheral Studies'!C5),"",'[1]Cobalt Peripheral Studies'!C5)</f>
        <v>https://doi.org/10.1016/j.jsm.2019.03.002</v>
      </c>
      <c r="Y6" s="7" t="str">
        <f>IF(ISBLANK('[1]Cobalt Peripheral Studies'!D5),"",'[1]Cobalt Peripheral Studies'!D5)</f>
        <v>Literature</v>
      </c>
      <c r="Z6" s="7" t="str">
        <f>IF(ISBLANK('[1]Cobalt Peripheral Studies'!E5),"",'[1]Cobalt Peripheral Studies'!E5)</f>
        <v>11.73 kg CO2 eq. per kg cobalt</v>
      </c>
      <c r="AA6" s="7" t="str">
        <f>IF(ISBLANK('[1]Cobalt Peripheral Studies'!F5),"",'[1]Cobalt Peripheral Studies'!F5)</f>
        <v>no → Ecoinvent v2.2</v>
      </c>
      <c r="AB6" s="7" t="str">
        <f>IF(ISBLANK('[1]Cobalt Peripheral Studies'!G5),"",'[1]Cobalt Peripheral Studies'!G5)</f>
        <v>1 kg of cobalt</v>
      </c>
      <c r="AC6" s="7" t="str">
        <f>IF(ISBLANK('[1]Cobalt Peripheral Studies'!H5),"",'[1]Cobalt Peripheral Studies'!H5)</f>
        <v>cradle to gate → screenshot</v>
      </c>
      <c r="AD6" s="7" t="str">
        <f>IF(ISBLANK('[1]Cobalt Peripheral Studies'!I5),"",'[1]Cobalt Peripheral Studies'!I5)</f>
        <v>+ transparent</v>
      </c>
      <c r="AE6" s="7" t="str">
        <f>IF(ISBLANK('[1]Cobalt Peripheral Studies'!J5),"",'[1]Cobalt Peripheral Studies'!J5)</f>
        <v>Cobalt-copper ore, Cobalt-nickel ore</v>
      </c>
    </row>
    <row r="7" spans="1:37" ht="43.5" customHeight="1" x14ac:dyDescent="0.3">
      <c r="A7" s="2" t="s">
        <v>673</v>
      </c>
      <c r="B7" s="2">
        <v>6.9</v>
      </c>
      <c r="C7" s="2" t="s">
        <v>69</v>
      </c>
      <c r="D7" s="1" t="str">
        <f>IF(E7="Bollwein (2022)","","ERROR - check row order of Notion export")</f>
        <v/>
      </c>
      <c r="E7" s="3" t="str">
        <f>IF(ISBLANK('[1]Cobalt Qualified Studies'!A6),"",'[1]Cobalt Qualified Studies'!A6)</f>
        <v>Bollwein (2022)</v>
      </c>
      <c r="F7" s="3" t="str">
        <f>IF(ISBLANK('[1]Cobalt Qualified Studies'!B6),"",'[1]Cobalt Qualified Studies'!B6)</f>
        <v>Comparative life cycle assessment of prospective battery-grade material production in Norway</v>
      </c>
      <c r="G7" s="3" t="str">
        <f>IF(ISBLANK('[1]Cobalt Qualified Studies'!C6),"",'[1]Cobalt Qualified Studies'!C6)</f>
        <v>https://hdl.handle.net/11250/3023809</v>
      </c>
      <c r="H7" s="3" t="str">
        <f>IF(ISBLANK('[1]Cobalt Qualified Studies'!D6),"",'[1]Cobalt Qualified Studies'!D6)</f>
        <v>Report</v>
      </c>
      <c r="I7" s="3" t="str">
        <f>IF(ISBLANK('[1]Cobalt Qualified Studies'!E6),"",'[1]Cobalt Qualified Studies'!E6)</f>
        <v>7.69 kgCO2eq. / kg CoSO4 anh</v>
      </c>
      <c r="J7" s="3" t="str">
        <f>IF(ISBLANK('[1]Cobalt Qualified Studies'!F6),"",'[1]Cobalt Qualified Studies'!F6)</f>
        <v>7.69 kg_CO2e/kg_CoSO4_anh</v>
      </c>
      <c r="K7" s="3" t="str">
        <f>IF(ISBLANK('[1]Cobalt Qualified Studies'!G6),"",'[1]Cobalt Qualified Studies'!G6)</f>
        <v>yes</v>
      </c>
      <c r="L7" s="3" t="str">
        <f>IF(ISBLANK('[1]Cobalt Qualified Studies'!H6),"",'[1]Cobalt Qualified Studies'!H6)</f>
        <v xml:space="preserve">1 kg CoSO4 anhydrous  (hypothesized)
</v>
      </c>
      <c r="M7" s="3" t="str">
        <f>IF(ISBLANK('[1]Cobalt Qualified Studies'!I6),"",'[1]Cobalt Qualified Studies'!I6)</f>
        <v>screenshot</v>
      </c>
      <c r="N7" s="3" t="str">
        <f>IF(ISBLANK('[1]Cobalt Qualified Studies'!J6),"",'[1]Cobalt Qualified Studies'!J6)</f>
        <v>+ transparent</v>
      </c>
      <c r="O7" s="3" t="str">
        <f>IF(ISBLANK('[1]Cobalt Qualified Studies'!K6),"",'[1]Cobalt Qualified Studies'!K6)</f>
        <v>Cobalt sulfate</v>
      </c>
      <c r="P7" s="3" t="str">
        <f>IF(ISBLANK('[1]Cobalt Qualified Studies'!L6),"",'[1]Cobalt Qualified Studies'!L6)</f>
        <v>google search</v>
      </c>
      <c r="Q7" s="3" t="str">
        <f>IF(ISBLANK('[1]Cobalt Qualified Studies'!M6),"",'[1]Cobalt Qualified Studies'!M6)</f>
        <v>Canada, Norway</v>
      </c>
      <c r="R7" s="3" t="str">
        <f>IF(ISBLANK('[1]Cobalt Qualified Studies'!N6),"",'[1]Cobalt Qualified Studies'!N6)</f>
        <v>Glencore Nikkelverk</v>
      </c>
      <c r="S7" s="8" t="b">
        <v>0</v>
      </c>
      <c r="T7" s="5" t="s">
        <v>712</v>
      </c>
      <c r="V7" s="7" t="str">
        <f>IF(ISBLANK('[1]Cobalt Peripheral Studies'!A6),"",'[1]Cobalt Peripheral Studies'!A6)</f>
        <v>Lawrén (2019)</v>
      </c>
      <c r="W7" s="7" t="str">
        <f>IF(ISBLANK('[1]Cobalt Peripheral Studies'!B6),"",'[1]Cobalt Peripheral Studies'!B6)</f>
        <v>Life cycle assessment of nickel-rich
lithium-ion battery for electric vehicles</v>
      </c>
      <c r="X7" s="7" t="str">
        <f>IF(ISBLANK('[1]Cobalt Peripheral Studies'!C6),"",'[1]Cobalt Peripheral Studies'!C6)</f>
        <v>https://hdl.handle.net/20.500.12380/300644</v>
      </c>
      <c r="Y7" s="7" t="str">
        <f>IF(ISBLANK('[1]Cobalt Peripheral Studies'!D6),"",'[1]Cobalt Peripheral Studies'!D6)</f>
        <v/>
      </c>
      <c r="Z7" s="7" t="str">
        <f>IF(ISBLANK('[1]Cobalt Peripheral Studies'!E6),"",'[1]Cobalt Peripheral Studies'!E6)</f>
        <v>7.2 kg CO2 eq. per kg cobalt</v>
      </c>
      <c r="AA7" s="7" t="str">
        <f>IF(ISBLANK('[1]Cobalt Peripheral Studies'!F6),"",'[1]Cobalt Peripheral Studies'!F6)</f>
        <v>probably not → inventory from Dai et al. (2018)</v>
      </c>
      <c r="AB7" s="7" t="str">
        <f>IF(ISBLANK('[1]Cobalt Peripheral Studies'!G6),"",'[1]Cobalt Peripheral Studies'!G6)</f>
        <v>Study: 1 kWh of the total energy provided over the service life by the battery system
GWP: kg cobalt</v>
      </c>
      <c r="AC7" s="7" t="str">
        <f>IF(ISBLANK('[1]Cobalt Peripheral Studies'!H6),"",'[1]Cobalt Peripheral Studies'!H6)</f>
        <v>cradle to grave → screenshot</v>
      </c>
      <c r="AD7" s="7" t="str">
        <f>IF(ISBLANK('[1]Cobalt Peripheral Studies'!I6),"",'[1]Cobalt Peripheral Studies'!I6)</f>
        <v>+ transparent</v>
      </c>
      <c r="AE7" s="7" t="str">
        <f>IF(ISBLANK('[1]Cobalt Peripheral Studies'!J6),"",'[1]Cobalt Peripheral Studies'!J6)</f>
        <v>Cobalt sulfate</v>
      </c>
    </row>
    <row r="8" spans="1:37" ht="19.95" customHeight="1" x14ac:dyDescent="0.3">
      <c r="A8" s="2"/>
      <c r="B8" s="2"/>
      <c r="C8" s="2"/>
      <c r="D8" s="1" t="str">
        <f>IF(E8="Ecoinvent 3.9.1 ","","ERROR - check row order of Notion export")</f>
        <v/>
      </c>
      <c r="E8" s="3" t="str">
        <f>IF(ISBLANK('[1]Cobalt Qualified Studies'!A7),"",'[1]Cobalt Qualified Studies'!A7)</f>
        <v xml:space="preserve">Ecoinvent 3.9.1 </v>
      </c>
      <c r="F8" s="3" t="str">
        <f>IF(ISBLANK('[1]Cobalt Qualified Studies'!B7),"",'[1]Cobalt Qualified Studies'!B7)</f>
        <v>cobalt sulfate production</v>
      </c>
      <c r="G8" s="3" t="str">
        <f>IF(ISBLANK('[1]Cobalt Qualified Studies'!C7),"",'[1]Cobalt Qualified Studies'!C7)</f>
        <v>https://ecoquery.ecoinvent.org/3.9.1/cutoff/dataset/25117/documentation</v>
      </c>
      <c r="H8" s="3" t="str">
        <f>IF(ISBLANK('[1]Cobalt Qualified Studies'!D7),"",'[1]Cobalt Qualified Studies'!D7)</f>
        <v>Database</v>
      </c>
      <c r="I8" s="3" t="str">
        <f>IF(ISBLANK('[1]Cobalt Qualified Studies'!E7),"",'[1]Cobalt Qualified Studies'!E7)</f>
        <v>28.89 CO2-eq / kg CoSO4 anh</v>
      </c>
      <c r="J8" s="3" t="str">
        <f>IF(ISBLANK('[1]Cobalt Qualified Studies'!F7),"",'[1]Cobalt Qualified Studies'!F7)</f>
        <v>28.89 kg_CO2e/kg_CoSO4_anh</v>
      </c>
      <c r="K8" s="3" t="str">
        <f>IF(ISBLANK('[1]Cobalt Qualified Studies'!G7),"",'[1]Cobalt Qualified Studies'!G7)</f>
        <v xml:space="preserve">no → estimated from Dai et al. (2018) </v>
      </c>
      <c r="L8" s="3" t="str">
        <f>IF(ISBLANK('[1]Cobalt Qualified Studies'!H7),"",'[1]Cobalt Qualified Studies'!H7)</f>
        <v>1 kg CoSO4 anhydrous (hypothesized based on ANL)</v>
      </c>
      <c r="M8" s="3" t="str">
        <f>IF(ISBLANK('[1]Cobalt Qualified Studies'!I7),"",'[1]Cobalt Qualified Studies'!I7)</f>
        <v>cradle-to-gate</v>
      </c>
      <c r="N8" s="3" t="str">
        <f>IF(ISBLANK('[1]Cobalt Qualified Studies'!J7),"",'[1]Cobalt Qualified Studies'!J7)</f>
        <v>++ transparent</v>
      </c>
      <c r="O8" s="3" t="str">
        <f>IF(ISBLANK('[1]Cobalt Qualified Studies'!K7),"",'[1]Cobalt Qualified Studies'!K7)</f>
        <v>Cobalt hydroxide, Cobalt sulfate</v>
      </c>
      <c r="P8" s="3" t="str">
        <f>IF(ISBLANK('[1]Cobalt Qualified Studies'!L7),"",'[1]Cobalt Qualified Studies'!L7)</f>
        <v>google search</v>
      </c>
      <c r="Q8" s="3" t="str">
        <f>IF(ISBLANK('[1]Cobalt Qualified Studies'!M7),"",'[1]Cobalt Qualified Studies'!M7)</f>
        <v>China</v>
      </c>
      <c r="R8" s="3" t="str">
        <f>IF(ISBLANK('[1]Cobalt Qualified Studies'!N7),"",'[1]Cobalt Qualified Studies'!N7)</f>
        <v>Huayou Cobalt Co. Ltd.</v>
      </c>
      <c r="S8" s="8" t="b">
        <v>1</v>
      </c>
      <c r="T8" s="9"/>
      <c r="V8" s="7" t="str">
        <f>IF(ISBLANK('[1]Cobalt Peripheral Studies'!A7),"",'[1]Cobalt Peripheral Studies'!A7)</f>
        <v>Dai et al. (2018)</v>
      </c>
      <c r="W8" s="7" t="str">
        <f>IF(ISBLANK('[1]Cobalt Peripheral Studies'!B7),"",'[1]Cobalt Peripheral Studies'!B7)</f>
        <v>Cobalt Life Cycle Analysis Update for the GREET Model</v>
      </c>
      <c r="X8" s="7" t="str">
        <f>IF(ISBLANK('[1]Cobalt Peripheral Studies'!C7),"",'[1]Cobalt Peripheral Studies'!C7)</f>
        <v>https://greet.es.anl.gov/publications</v>
      </c>
      <c r="Y8" s="7" t="str">
        <f>IF(ISBLANK('[1]Cobalt Peripheral Studies'!D7),"",'[1]Cobalt Peripheral Studies'!D7)</f>
        <v>Report</v>
      </c>
      <c r="Z8" s="7" t="str">
        <f>IF(ISBLANK('[1]Cobalt Peripheral Studies'!E7),"",'[1]Cobalt Peripheral Studies'!E7)</f>
        <v>no value for total GWP but for non-fuel combustion process emissions.</v>
      </c>
      <c r="AA8" s="7" t="str">
        <f>IF(ISBLANK('[1]Cobalt Peripheral Studies'!F7),"",'[1]Cobalt Peripheral Studies'!F7)</f>
        <v>yes → collected primary data from mines in DRC and processing plants in China</v>
      </c>
      <c r="AB8" s="7" t="str">
        <f>IF(ISBLANK('[1]Cobalt Peripheral Studies'!G7),"",'[1]Cobalt Peripheral Studies'!G7)</f>
        <v>per kg cobalt product</v>
      </c>
      <c r="AC8" s="7" t="str">
        <f>IF(ISBLANK('[1]Cobalt Peripheral Studies'!H7),"",'[1]Cobalt Peripheral Studies'!H7)</f>
        <v>screenshot</v>
      </c>
      <c r="AD8" s="7" t="str">
        <f>IF(ISBLANK('[1]Cobalt Peripheral Studies'!I7),"",'[1]Cobalt Peripheral Studies'!I7)</f>
        <v>++ transparent</v>
      </c>
      <c r="AE8" s="7" t="str">
        <f>IF(ISBLANK('[1]Cobalt Peripheral Studies'!J7),"",'[1]Cobalt Peripheral Studies'!J7)</f>
        <v>Cobalt sulfate, Cobalt-copper ore, Cobalt-nickel ore</v>
      </c>
    </row>
    <row r="9" spans="1:37" ht="19.95" customHeight="1" x14ac:dyDescent="0.3">
      <c r="A9" s="2"/>
      <c r="B9" s="2"/>
      <c r="C9" s="2"/>
      <c r="D9" s="1" t="str">
        <f>IF(E9="GREET 2022 [econ-alloc]","","ERROR - check row order of Notion export")</f>
        <v/>
      </c>
      <c r="E9" s="3" t="str">
        <f>IF(ISBLANK('[1]Cobalt Qualified Studies'!A8),"",'[1]Cobalt Qualified Studies'!A8)</f>
        <v>GREET 2022 [econ-alloc]</v>
      </c>
      <c r="F9" s="3" t="str">
        <f>IF(ISBLANK('[1]Cobalt Qualified Studies'!B8),"",'[1]Cobalt Qualified Studies'!B8)</f>
        <v xml:space="preserve">Refined CoSO4 Production - Economic Value Allocation
</v>
      </c>
      <c r="G9" s="3" t="str">
        <f>IF(ISBLANK('[1]Cobalt Qualified Studies'!C8),"",'[1]Cobalt Qualified Studies'!C8)</f>
        <v>https://greet.anl.gov/</v>
      </c>
      <c r="H9" s="3" t="str">
        <f>IF(ISBLANK('[1]Cobalt Qualified Studies'!D8),"",'[1]Cobalt Qualified Studies'!D8)</f>
        <v>Database</v>
      </c>
      <c r="I9" s="3" t="str">
        <f>IF(ISBLANK('[1]Cobalt Qualified Studies'!E8),"",'[1]Cobalt Qualified Studies'!E8)</f>
        <v>9.7 CO2-eq / kg CoSO4 anh</v>
      </c>
      <c r="J9" s="3" t="str">
        <f>IF(ISBLANK('[1]Cobalt Qualified Studies'!F8),"",'[1]Cobalt Qualified Studies'!F8)</f>
        <v>9.7 kg_CO2e/kg_CoSO4_anh</v>
      </c>
      <c r="K9" s="3" t="str">
        <f>IF(ISBLANK('[1]Cobalt Qualified Studies'!G8),"",'[1]Cobalt Qualified Studies'!G8)</f>
        <v/>
      </c>
      <c r="L9" s="3" t="str">
        <f>IF(ISBLANK('[1]Cobalt Qualified Studies'!H8),"",'[1]Cobalt Qualified Studies'!H8)</f>
        <v>1 kg cobalt sulfate anhydrous</v>
      </c>
      <c r="M9" s="3" t="str">
        <f>IF(ISBLANK('[1]Cobalt Qualified Studies'!I8),"",'[1]Cobalt Qualified Studies'!I8)</f>
        <v/>
      </c>
      <c r="N9" s="3" t="str">
        <f>IF(ISBLANK('[1]Cobalt Qualified Studies'!J8),"",'[1]Cobalt Qualified Studies'!J8)</f>
        <v/>
      </c>
      <c r="O9" s="3" t="str">
        <f>IF(ISBLANK('[1]Cobalt Qualified Studies'!K8),"",'[1]Cobalt Qualified Studies'!K8)</f>
        <v>Cobalt sulfate</v>
      </c>
      <c r="P9" s="3" t="str">
        <f>IF(ISBLANK('[1]Cobalt Qualified Studies'!L8),"",'[1]Cobalt Qualified Studies'!L8)</f>
        <v>google search</v>
      </c>
      <c r="Q9" s="3" t="str">
        <f>IF(ISBLANK('[1]Cobalt Qualified Studies'!M8),"",'[1]Cobalt Qualified Studies'!M8)</f>
        <v>China, DRC</v>
      </c>
      <c r="R9" s="3" t="str">
        <f>IF(ISBLANK('[1]Cobalt Qualified Studies'!N8),"",'[1]Cobalt Qualified Studies'!N8)</f>
        <v>Kamoto, Mutanda, Tenke Fungurume</v>
      </c>
      <c r="S9" s="8" t="b">
        <v>1</v>
      </c>
      <c r="T9" s="9"/>
      <c r="V9" s="7" t="str">
        <f>IF(ISBLANK('[1]Cobalt Peripheral Studies'!A8),"",'[1]Cobalt Peripheral Studies'!A8)</f>
        <v>Falcone et al. (2022)</v>
      </c>
      <c r="W9" s="7" t="str">
        <f>IF(ISBLANK('[1]Cobalt Peripheral Studies'!B8),"",'[1]Cobalt Peripheral Studies'!B8)</f>
        <v>Life Cycle Assessment of a Lithium-Ion Battery Pack Unit Made of Cylindrical Cells</v>
      </c>
      <c r="X9" s="7" t="str">
        <f>IF(ISBLANK('[1]Cobalt Peripheral Studies'!C8),"",'[1]Cobalt Peripheral Studies'!C8)</f>
        <v>https://doi.org/10.3390/batteries8080076</v>
      </c>
      <c r="Y9" s="7" t="str">
        <f>IF(ISBLANK('[1]Cobalt Peripheral Studies'!D8),"",'[1]Cobalt Peripheral Studies'!D8)</f>
        <v>Literature</v>
      </c>
      <c r="Z9" s="7" t="str">
        <f>IF(ISBLANK('[1]Cobalt Peripheral Studies'!E8),"",'[1]Cobalt Peripheral Studies'!E8)</f>
        <v>GWPs,Co = 38 kgCO2/kgCo (cite Cobalt Institute)</v>
      </c>
      <c r="AA9" s="7" t="str">
        <f>IF(ISBLANK('[1]Cobalt Peripheral Studies'!F8),"",'[1]Cobalt Peripheral Studies'!F8)</f>
        <v>probably no → cite Cobalt Institute</v>
      </c>
      <c r="AB9" s="7" t="str">
        <f>IF(ISBLANK('[1]Cobalt Peripheral Studies'!G8),"",'[1]Cobalt Peripheral Studies'!G8)</f>
        <v>kg cobalt</v>
      </c>
      <c r="AC9" s="7" t="str">
        <f>IF(ISBLANK('[1]Cobalt Peripheral Studies'!H8),"",'[1]Cobalt Peripheral Studies'!H8)</f>
        <v>screenshot</v>
      </c>
      <c r="AD9" s="7" t="str">
        <f>IF(ISBLANK('[1]Cobalt Peripheral Studies'!I8),"",'[1]Cobalt Peripheral Studies'!I8)</f>
        <v>-- intransparent</v>
      </c>
      <c r="AE9" s="7" t="str">
        <f>IF(ISBLANK('[1]Cobalt Peripheral Studies'!J8),"",'[1]Cobalt Peripheral Studies'!J8)</f>
        <v>Cobalt sulfate</v>
      </c>
    </row>
    <row r="10" spans="1:37" ht="19.95" customHeight="1" x14ac:dyDescent="0.3">
      <c r="A10" s="2"/>
      <c r="B10" s="2"/>
      <c r="C10" s="2"/>
      <c r="D10" s="1" t="str">
        <f>IF(E10="GREET 2022 [mass-alloc]","","ERROR - check row order of Notion export")</f>
        <v/>
      </c>
      <c r="E10" s="3" t="str">
        <f>IF(ISBLANK('[1]Cobalt Qualified Studies'!A9),"",'[1]Cobalt Qualified Studies'!A9)</f>
        <v>GREET 2022 [mass-alloc]</v>
      </c>
      <c r="F10" s="3" t="str">
        <f>IF(ISBLANK('[1]Cobalt Qualified Studies'!B9),"",'[1]Cobalt Qualified Studies'!B9)</f>
        <v xml:space="preserve">Refined CoSO4 Production - Economic Value Allocation
</v>
      </c>
      <c r="G10" s="3" t="str">
        <f>IF(ISBLANK('[1]Cobalt Qualified Studies'!C9),"",'[1]Cobalt Qualified Studies'!C9)</f>
        <v>https://greet.anl.gov/</v>
      </c>
      <c r="H10" s="3" t="str">
        <f>IF(ISBLANK('[1]Cobalt Qualified Studies'!D9),"",'[1]Cobalt Qualified Studies'!D9)</f>
        <v>Database</v>
      </c>
      <c r="I10" s="3" t="str">
        <f>IF(ISBLANK('[1]Cobalt Qualified Studies'!E9),"",'[1]Cobalt Qualified Studies'!E9)</f>
        <v>6.9 CO2-eq / kg CoSO4 anh</v>
      </c>
      <c r="J10" s="3" t="str">
        <f>IF(ISBLANK('[1]Cobalt Qualified Studies'!F9),"",'[1]Cobalt Qualified Studies'!F9)</f>
        <v>6.9 kg_CO2e/kg_CoSO4_anh</v>
      </c>
      <c r="K10" s="3" t="str">
        <f>IF(ISBLANK('[1]Cobalt Qualified Studies'!G9),"",'[1]Cobalt Qualified Studies'!G9)</f>
        <v/>
      </c>
      <c r="L10" s="3" t="str">
        <f>IF(ISBLANK('[1]Cobalt Qualified Studies'!H9),"",'[1]Cobalt Qualified Studies'!H9)</f>
        <v>1 kg cobalt sulfate anhydrous</v>
      </c>
      <c r="M10" s="3" t="str">
        <f>IF(ISBLANK('[1]Cobalt Qualified Studies'!I9),"",'[1]Cobalt Qualified Studies'!I9)</f>
        <v/>
      </c>
      <c r="N10" s="3" t="str">
        <f>IF(ISBLANK('[1]Cobalt Qualified Studies'!J9),"",'[1]Cobalt Qualified Studies'!J9)</f>
        <v/>
      </c>
      <c r="O10" s="3" t="str">
        <f>IF(ISBLANK('[1]Cobalt Qualified Studies'!K9),"",'[1]Cobalt Qualified Studies'!K9)</f>
        <v>Cobalt sulfate</v>
      </c>
      <c r="P10" s="3" t="str">
        <f>IF(ISBLANK('[1]Cobalt Qualified Studies'!L9),"",'[1]Cobalt Qualified Studies'!L9)</f>
        <v>google search</v>
      </c>
      <c r="Q10" s="3" t="str">
        <f>IF(ISBLANK('[1]Cobalt Qualified Studies'!M9),"",'[1]Cobalt Qualified Studies'!M9)</f>
        <v>China, DRC</v>
      </c>
      <c r="R10" s="3" t="str">
        <f>IF(ISBLANK('[1]Cobalt Qualified Studies'!N9),"",'[1]Cobalt Qualified Studies'!N9)</f>
        <v>Kamoto, Mutanda, Tenke Fungurume</v>
      </c>
      <c r="S10" s="8" t="b">
        <v>1</v>
      </c>
      <c r="T10" s="9"/>
      <c r="V10" s="7" t="str">
        <f>IF(ISBLANK('[1]Cobalt Peripheral Studies'!A9),"",'[1]Cobalt Peripheral Studies'!A9)</f>
        <v>First Cobalt Corp.</v>
      </c>
      <c r="W10" s="7" t="str">
        <f>IF(ISBLANK('[1]Cobalt Peripheral Studies'!B9),"",'[1]Cobalt Peripheral Studies'!B9)</f>
        <v>First Cobalt Releases Refinery Life Cycle Assessment</v>
      </c>
      <c r="X10" s="7" t="str">
        <f>IF(ISBLANK('[1]Cobalt Peripheral Studies'!C9),"",'[1]Cobalt Peripheral Studies'!C9)</f>
        <v>https://electrabmc.com/3061/
https://electrabmc.com/wp-content/uploads/2023/02/20221220-Sustainability-Report-2022_vfinal-1.pdf</v>
      </c>
      <c r="Y10" s="7" t="str">
        <f>IF(ISBLANK('[1]Cobalt Peripheral Studies'!D9),"",'[1]Cobalt Peripheral Studies'!D9)</f>
        <v>Report</v>
      </c>
      <c r="Z10" s="7" t="str">
        <f>IF(ISBLANK('[1]Cobalt Peripheral Studies'!E9),"",'[1]Cobalt Peripheral Studies'!E9)</f>
        <v>1.58 kg CO2 eq per kilogram of cobalt sulfate</v>
      </c>
      <c r="AA10" s="7" t="str">
        <f>IF(ISBLANK('[1]Cobalt Peripheral Studies'!F9),"",'[1]Cobalt Peripheral Studies'!F9)</f>
        <v>maybe own factory data but also ecoinvent → in methdological transparency</v>
      </c>
      <c r="AB10" s="7" t="str">
        <f>IF(ISBLANK('[1]Cobalt Peripheral Studies'!G9),"",'[1]Cobalt Peripheral Studies'!G9)</f>
        <v>kg of cobalt sulfate</v>
      </c>
      <c r="AC10" s="7" t="str">
        <f>IF(ISBLANK('[1]Cobalt Peripheral Studies'!H9),"",'[1]Cobalt Peripheral Studies'!H9)</f>
        <v>gate to gate (comments)</v>
      </c>
      <c r="AD10" s="7" t="str">
        <f>IF(ISBLANK('[1]Cobalt Peripheral Studies'!I9),"",'[1]Cobalt Peripheral Studies'!I9)</f>
        <v>-- intransparent</v>
      </c>
      <c r="AE10" s="7" t="str">
        <f>IF(ISBLANK('[1]Cobalt Peripheral Studies'!J9),"",'[1]Cobalt Peripheral Studies'!J9)</f>
        <v>Cobalt sulfate</v>
      </c>
    </row>
    <row r="11" spans="1:37" ht="19.95" customHeight="1" x14ac:dyDescent="0.3">
      <c r="D11" s="1" t="str">
        <f t="shared" ref="D11:D22" si="0">IF(E11="","","ERROR - check row order of Notion export")</f>
        <v/>
      </c>
      <c r="E11" s="3" t="str">
        <f>IF(ISBLANK('[1]Cobalt Qualified Studies'!A10),"",'[1]Cobalt Qualified Studies'!A10)</f>
        <v/>
      </c>
      <c r="F11" s="3" t="str">
        <f>IF(ISBLANK('[1]Cobalt Qualified Studies'!B10),"",'[1]Cobalt Qualified Studies'!B10)</f>
        <v/>
      </c>
      <c r="G11" s="3" t="str">
        <f>IF(ISBLANK('[1]Cobalt Qualified Studies'!C10),"",'[1]Cobalt Qualified Studies'!C10)</f>
        <v/>
      </c>
      <c r="H11" s="3" t="str">
        <f>IF(ISBLANK('[1]Cobalt Qualified Studies'!D10),"",'[1]Cobalt Qualified Studies'!D10)</f>
        <v/>
      </c>
      <c r="I11" s="3" t="str">
        <f>IF(ISBLANK('[1]Cobalt Qualified Studies'!E10),"",'[1]Cobalt Qualified Studies'!E10)</f>
        <v/>
      </c>
      <c r="J11" s="3" t="str">
        <f>IF(ISBLANK('[1]Cobalt Qualified Studies'!F10),"",'[1]Cobalt Qualified Studies'!F10)</f>
        <v/>
      </c>
      <c r="K11" s="3" t="str">
        <f>IF(ISBLANK('[1]Cobalt Qualified Studies'!G10),"",'[1]Cobalt Qualified Studies'!G10)</f>
        <v/>
      </c>
      <c r="L11" s="3" t="str">
        <f>IF(ISBLANK('[1]Cobalt Qualified Studies'!H10),"",'[1]Cobalt Qualified Studies'!H10)</f>
        <v/>
      </c>
      <c r="M11" s="3" t="str">
        <f>IF(ISBLANK('[1]Cobalt Qualified Studies'!I10),"",'[1]Cobalt Qualified Studies'!I10)</f>
        <v/>
      </c>
      <c r="N11" s="3" t="str">
        <f>IF(ISBLANK('[1]Cobalt Qualified Studies'!J10),"",'[1]Cobalt Qualified Studies'!J10)</f>
        <v/>
      </c>
      <c r="O11" s="3" t="str">
        <f>IF(ISBLANK('[1]Cobalt Qualified Studies'!K10),"",'[1]Cobalt Qualified Studies'!K10)</f>
        <v/>
      </c>
      <c r="P11" s="3" t="str">
        <f>IF(ISBLANK('[1]Cobalt Qualified Studies'!L10),"",'[1]Cobalt Qualified Studies'!L10)</f>
        <v/>
      </c>
      <c r="Q11" s="3" t="str">
        <f>IF(ISBLANK('[1]Cobalt Qualified Studies'!M10),"",'[1]Cobalt Qualified Studies'!M10)</f>
        <v/>
      </c>
      <c r="R11" s="3" t="str">
        <f>IF(ISBLANK('[1]Cobalt Qualified Studies'!N10),"",'[1]Cobalt Qualified Studies'!N10)</f>
        <v/>
      </c>
      <c r="S11" s="8"/>
      <c r="T11" s="9"/>
      <c r="V11" s="7" t="str">
        <f>IF(ISBLANK('[1]Cobalt Peripheral Studies'!A10),"",'[1]Cobalt Peripheral Studies'!A10)</f>
        <v>Winjobi et al (2022)</v>
      </c>
      <c r="W11" s="7" t="str">
        <f>IF(ISBLANK('[1]Cobalt Peripheral Studies'!B10),"",'[1]Cobalt Peripheral Studies'!B10)</f>
        <v>Life-cycle analysis, by global region, of automotive lithium-ion nickel manganese cobalt batteries of varying nickel content</v>
      </c>
      <c r="X11" s="7" t="str">
        <f>IF(ISBLANK('[1]Cobalt Peripheral Studies'!C10),"",'[1]Cobalt Peripheral Studies'!C10)</f>
        <v>https://doi.org/10.1016/j.susmat.2022.e00415</v>
      </c>
      <c r="Y11" s="7" t="str">
        <f>IF(ISBLANK('[1]Cobalt Peripheral Studies'!D10),"",'[1]Cobalt Peripheral Studies'!D10)</f>
        <v>Literature</v>
      </c>
      <c r="Z11" s="7" t="str">
        <f>IF(ISBLANK('[1]Cobalt Peripheral Studies'!E10),"",'[1]Cobalt Peripheral Studies'!E10)</f>
        <v>6,731 kg CO2eq/kg (see SI Table S13)</v>
      </c>
      <c r="AA11" s="7" t="str">
        <f>IF(ISBLANK('[1]Cobalt Peripheral Studies'!F10),"",'[1]Cobalt Peripheral Studies'!F10)</f>
        <v>probably no</v>
      </c>
      <c r="AB11" s="7" t="str">
        <f>IF(ISBLANK('[1]Cobalt Peripheral Studies'!G10),"",'[1]Cobalt Peripheral Studies'!G10)</f>
        <v xml:space="preserve">1kWh of battery capacity
</v>
      </c>
      <c r="AC11" s="7" t="str">
        <f>IF(ISBLANK('[1]Cobalt Peripheral Studies'!H10),"",'[1]Cobalt Peripheral Studies'!H10)</f>
        <v>see screenshot</v>
      </c>
      <c r="AD11" s="7" t="str">
        <f>IF(ISBLANK('[1]Cobalt Peripheral Studies'!I10),"",'[1]Cobalt Peripheral Studies'!I10)</f>
        <v>- intransparent</v>
      </c>
      <c r="AE11" s="7" t="str">
        <f>IF(ISBLANK('[1]Cobalt Peripheral Studies'!J10),"",'[1]Cobalt Peripheral Studies'!J10)</f>
        <v>Cobalt sulfate</v>
      </c>
    </row>
    <row r="12" spans="1:37" ht="19.95" customHeight="1" x14ac:dyDescent="0.3">
      <c r="D12" s="1" t="str">
        <f t="shared" si="0"/>
        <v/>
      </c>
      <c r="E12" s="3" t="str">
        <f>IF(ISBLANK('[1]Cobalt Qualified Studies'!A11),"",'[1]Cobalt Qualified Studies'!A11)</f>
        <v/>
      </c>
      <c r="F12" s="3" t="str">
        <f>IF(ISBLANK('[1]Cobalt Qualified Studies'!B11),"",'[1]Cobalt Qualified Studies'!B11)</f>
        <v/>
      </c>
      <c r="G12" s="3" t="str">
        <f>IF(ISBLANK('[1]Cobalt Qualified Studies'!C11),"",'[1]Cobalt Qualified Studies'!C11)</f>
        <v/>
      </c>
      <c r="H12" s="3" t="str">
        <f>IF(ISBLANK('[1]Cobalt Qualified Studies'!D11),"",'[1]Cobalt Qualified Studies'!D11)</f>
        <v/>
      </c>
      <c r="I12" s="3" t="str">
        <f>IF(ISBLANK('[1]Cobalt Qualified Studies'!E11),"",'[1]Cobalt Qualified Studies'!E11)</f>
        <v/>
      </c>
      <c r="J12" s="3" t="str">
        <f>IF(ISBLANK('[1]Cobalt Qualified Studies'!F11),"",'[1]Cobalt Qualified Studies'!F11)</f>
        <v/>
      </c>
      <c r="K12" s="3" t="str">
        <f>IF(ISBLANK('[1]Cobalt Qualified Studies'!G11),"",'[1]Cobalt Qualified Studies'!G11)</f>
        <v/>
      </c>
      <c r="L12" s="3" t="str">
        <f>IF(ISBLANK('[1]Cobalt Qualified Studies'!H11),"",'[1]Cobalt Qualified Studies'!H11)</f>
        <v/>
      </c>
      <c r="M12" s="3" t="str">
        <f>IF(ISBLANK('[1]Cobalt Qualified Studies'!I11),"",'[1]Cobalt Qualified Studies'!I11)</f>
        <v/>
      </c>
      <c r="N12" s="3" t="str">
        <f>IF(ISBLANK('[1]Cobalt Qualified Studies'!J11),"",'[1]Cobalt Qualified Studies'!J11)</f>
        <v/>
      </c>
      <c r="O12" s="3" t="str">
        <f>IF(ISBLANK('[1]Cobalt Qualified Studies'!K11),"",'[1]Cobalt Qualified Studies'!K11)</f>
        <v/>
      </c>
      <c r="P12" s="3" t="str">
        <f>IF(ISBLANK('[1]Cobalt Qualified Studies'!L11),"",'[1]Cobalt Qualified Studies'!L11)</f>
        <v/>
      </c>
      <c r="Q12" s="3" t="str">
        <f>IF(ISBLANK('[1]Cobalt Qualified Studies'!M11),"",'[1]Cobalt Qualified Studies'!M11)</f>
        <v/>
      </c>
      <c r="R12" s="3" t="str">
        <f>IF(ISBLANK('[1]Cobalt Qualified Studies'!N11),"",'[1]Cobalt Qualified Studies'!N11)</f>
        <v/>
      </c>
      <c r="S12" s="8"/>
      <c r="T12" s="9"/>
      <c r="V12" s="7" t="str">
        <f>IF(ISBLANK('[1]Cobalt Peripheral Studies'!A11),"",'[1]Cobalt Peripheral Studies'!A11)</f>
        <v>Accardo et al. (2021)</v>
      </c>
      <c r="W12" s="7" t="str">
        <f>IF(ISBLANK('[1]Cobalt Peripheral Studies'!B11),"",'[1]Cobalt Peripheral Studies'!B11)</f>
        <v>Life Cycle Assessment of an NMC Battery for Application to Electric Light-Duty Commercial Vehicles and Comparison with a Sodium-Nickel-Chloride Battery</v>
      </c>
      <c r="X12" s="7" t="str">
        <f>IF(ISBLANK('[1]Cobalt Peripheral Studies'!C11),"",'[1]Cobalt Peripheral Studies'!C11)</f>
        <v>https://doi.org/10.3390/app11031160</v>
      </c>
      <c r="Y12" s="7" t="str">
        <f>IF(ISBLANK('[1]Cobalt Peripheral Studies'!D11),"",'[1]Cobalt Peripheral Studies'!D11)</f>
        <v>Literature</v>
      </c>
      <c r="Z12" s="7" t="str">
        <f>IF(ISBLANK('[1]Cobalt Peripheral Studies'!E11),"",'[1]Cobalt Peripheral Studies'!E11)</f>
        <v>9,64E+00 kg CO2 eq per kWh
1,50E+00 kg CO2 eq per kg battery pack</v>
      </c>
      <c r="AA12" s="7" t="str">
        <f>IF(ISBLANK('[1]Cobalt Peripheral Studies'!F11),"",'[1]Cobalt Peripheral Studies'!F11)</f>
        <v>partially → Inventory from Argonne National laboratory with updated primary data; Emissions from Ecoinvent 3.6</v>
      </c>
      <c r="AB12" s="7" t="str">
        <f>IF(ISBLANK('[1]Cobalt Peripheral Studies'!G11),"",'[1]Cobalt Peripheral Studies'!G11)</f>
        <v>1 kWh of nominal energy capacity of the battery pack</v>
      </c>
      <c r="AC12" s="7" t="str">
        <f>IF(ISBLANK('[1]Cobalt Peripheral Studies'!H11),"",'[1]Cobalt Peripheral Studies'!H11)</f>
        <v>Screenshot</v>
      </c>
      <c r="AD12" s="7" t="str">
        <f>IF(ISBLANK('[1]Cobalt Peripheral Studies'!I11),"",'[1]Cobalt Peripheral Studies'!I11)</f>
        <v>- intransparent</v>
      </c>
      <c r="AE12" s="7" t="str">
        <f>IF(ISBLANK('[1]Cobalt Peripheral Studies'!J11),"",'[1]Cobalt Peripheral Studies'!J11)</f>
        <v>Cobalt sulfate</v>
      </c>
    </row>
    <row r="13" spans="1:37" ht="19.95" customHeight="1" x14ac:dyDescent="0.3">
      <c r="D13" s="1" t="str">
        <f t="shared" si="0"/>
        <v/>
      </c>
      <c r="E13" s="3" t="str">
        <f>IF(ISBLANK('[1]Cobalt Qualified Studies'!A12),"",'[1]Cobalt Qualified Studies'!A12)</f>
        <v/>
      </c>
      <c r="F13" s="3" t="str">
        <f>IF(ISBLANK('[1]Cobalt Qualified Studies'!B12),"",'[1]Cobalt Qualified Studies'!B12)</f>
        <v/>
      </c>
      <c r="G13" s="3" t="str">
        <f>IF(ISBLANK('[1]Cobalt Qualified Studies'!C12),"",'[1]Cobalt Qualified Studies'!C12)</f>
        <v/>
      </c>
      <c r="H13" s="3" t="str">
        <f>IF(ISBLANK('[1]Cobalt Qualified Studies'!D12),"",'[1]Cobalt Qualified Studies'!D12)</f>
        <v/>
      </c>
      <c r="I13" s="3" t="str">
        <f>IF(ISBLANK('[1]Cobalt Qualified Studies'!E12),"",'[1]Cobalt Qualified Studies'!E12)</f>
        <v/>
      </c>
      <c r="J13" s="3" t="str">
        <f>IF(ISBLANK('[1]Cobalt Qualified Studies'!F12),"",'[1]Cobalt Qualified Studies'!F12)</f>
        <v/>
      </c>
      <c r="K13" s="3" t="str">
        <f>IF(ISBLANK('[1]Cobalt Qualified Studies'!G12),"",'[1]Cobalt Qualified Studies'!G12)</f>
        <v/>
      </c>
      <c r="L13" s="3" t="str">
        <f>IF(ISBLANK('[1]Cobalt Qualified Studies'!H12),"",'[1]Cobalt Qualified Studies'!H12)</f>
        <v/>
      </c>
      <c r="M13" s="3" t="str">
        <f>IF(ISBLANK('[1]Cobalt Qualified Studies'!I12),"",'[1]Cobalt Qualified Studies'!I12)</f>
        <v/>
      </c>
      <c r="N13" s="3" t="str">
        <f>IF(ISBLANK('[1]Cobalt Qualified Studies'!J12),"",'[1]Cobalt Qualified Studies'!J12)</f>
        <v/>
      </c>
      <c r="O13" s="3" t="str">
        <f>IF(ISBLANK('[1]Cobalt Qualified Studies'!K12),"",'[1]Cobalt Qualified Studies'!K12)</f>
        <v/>
      </c>
      <c r="P13" s="3" t="str">
        <f>IF(ISBLANK('[1]Cobalt Qualified Studies'!L12),"",'[1]Cobalt Qualified Studies'!L12)</f>
        <v/>
      </c>
      <c r="Q13" s="3" t="str">
        <f>IF(ISBLANK('[1]Cobalt Qualified Studies'!M12),"",'[1]Cobalt Qualified Studies'!M12)</f>
        <v/>
      </c>
      <c r="R13" s="3" t="str">
        <f>IF(ISBLANK('[1]Cobalt Qualified Studies'!N12),"",'[1]Cobalt Qualified Studies'!N12)</f>
        <v/>
      </c>
      <c r="S13" s="8"/>
      <c r="T13" s="9"/>
      <c r="V13" s="7" t="str">
        <f>IF(ISBLANK('[1]Cobalt Peripheral Studies'!A12),"",'[1]Cobalt Peripheral Studies'!A12)</f>
        <v xml:space="preserve">Dai et al. (2019) </v>
      </c>
      <c r="W13" s="7" t="str">
        <f>IF(ISBLANK('[1]Cobalt Peripheral Studies'!B12),"",'[1]Cobalt Peripheral Studies'!B12)</f>
        <v>Life Cycle Analysis of Lithium-Ion Batteries for Automotive Applications</v>
      </c>
      <c r="X13" s="7" t="str">
        <f>IF(ISBLANK('[1]Cobalt Peripheral Studies'!C12),"",'[1]Cobalt Peripheral Studies'!C12)</f>
        <v>https://doi.org/10.3390/batteries5020048</v>
      </c>
      <c r="Y13" s="7" t="str">
        <f>IF(ISBLANK('[1]Cobalt Peripheral Studies'!D12),"",'[1]Cobalt Peripheral Studies'!D12)</f>
        <v>Literature</v>
      </c>
      <c r="Z13" s="7" t="str">
        <f>IF(ISBLANK('[1]Cobalt Peripheral Studies'!E12),"",'[1]Cobalt Peripheral Studies'!E12)</f>
        <v xml:space="preserve">3.79 kg CO2e per kg NMC111 powder </v>
      </c>
      <c r="AA13" s="7" t="str">
        <f>IF(ISBLANK('[1]Cobalt Peripheral Studies'!F12),"",'[1]Cobalt Peripheral Studies'!F12)</f>
        <v>unclear: say they update GREET with new industrial data</v>
      </c>
      <c r="AB13" s="7" t="str">
        <f>IF(ISBLANK('[1]Cobalt Peripheral Studies'!G12),"",'[1]Cobalt Peripheral Studies'!G12)</f>
        <v>study: 1kWh; for GWP of CoSO4: per kg NMC111 powder</v>
      </c>
      <c r="AC13" s="7" t="str">
        <f>IF(ISBLANK('[1]Cobalt Peripheral Studies'!H12),"",'[1]Cobalt Peripheral Studies'!H12)</f>
        <v>see screenshot</v>
      </c>
      <c r="AD13" s="7" t="str">
        <f>IF(ISBLANK('[1]Cobalt Peripheral Studies'!I12),"",'[1]Cobalt Peripheral Studies'!I12)</f>
        <v>- intransparent</v>
      </c>
      <c r="AE13" s="7" t="str">
        <f>IF(ISBLANK('[1]Cobalt Peripheral Studies'!J12),"",'[1]Cobalt Peripheral Studies'!J12)</f>
        <v>Cobalt sulfate</v>
      </c>
    </row>
    <row r="14" spans="1:37" x14ac:dyDescent="0.3">
      <c r="D14" s="1" t="str">
        <f t="shared" si="0"/>
        <v/>
      </c>
      <c r="E14" s="3" t="str">
        <f>IF(ISBLANK('[1]Cobalt Qualified Studies'!A13),"",'[1]Cobalt Qualified Studies'!A13)</f>
        <v/>
      </c>
      <c r="F14" s="3" t="str">
        <f>IF(ISBLANK('[1]Cobalt Qualified Studies'!B13),"",'[1]Cobalt Qualified Studies'!B13)</f>
        <v/>
      </c>
      <c r="G14" s="3" t="str">
        <f>IF(ISBLANK('[1]Cobalt Qualified Studies'!C13),"",'[1]Cobalt Qualified Studies'!C13)</f>
        <v/>
      </c>
      <c r="H14" s="3" t="str">
        <f>IF(ISBLANK('[1]Cobalt Qualified Studies'!D13),"",'[1]Cobalt Qualified Studies'!D13)</f>
        <v/>
      </c>
      <c r="I14" s="3" t="str">
        <f>IF(ISBLANK('[1]Cobalt Qualified Studies'!E13),"",'[1]Cobalt Qualified Studies'!E13)</f>
        <v/>
      </c>
      <c r="J14" s="3" t="str">
        <f>IF(ISBLANK('[1]Cobalt Qualified Studies'!F13),"",'[1]Cobalt Qualified Studies'!F13)</f>
        <v/>
      </c>
      <c r="K14" s="3" t="str">
        <f>IF(ISBLANK('[1]Cobalt Qualified Studies'!G13),"",'[1]Cobalt Qualified Studies'!G13)</f>
        <v/>
      </c>
      <c r="L14" s="3" t="str">
        <f>IF(ISBLANK('[1]Cobalt Qualified Studies'!H13),"",'[1]Cobalt Qualified Studies'!H13)</f>
        <v/>
      </c>
      <c r="M14" s="3" t="str">
        <f>IF(ISBLANK('[1]Cobalt Qualified Studies'!I13),"",'[1]Cobalt Qualified Studies'!I13)</f>
        <v/>
      </c>
      <c r="N14" s="3" t="str">
        <f>IF(ISBLANK('[1]Cobalt Qualified Studies'!J13),"",'[1]Cobalt Qualified Studies'!J13)</f>
        <v/>
      </c>
      <c r="O14" s="3" t="str">
        <f>IF(ISBLANK('[1]Cobalt Qualified Studies'!K13),"",'[1]Cobalt Qualified Studies'!K13)</f>
        <v/>
      </c>
      <c r="P14" s="3" t="str">
        <f>IF(ISBLANK('[1]Cobalt Qualified Studies'!L13),"",'[1]Cobalt Qualified Studies'!L13)</f>
        <v/>
      </c>
      <c r="Q14" s="3" t="str">
        <f>IF(ISBLANK('[1]Cobalt Qualified Studies'!M13),"",'[1]Cobalt Qualified Studies'!M13)</f>
        <v/>
      </c>
      <c r="R14" s="3" t="str">
        <f>IF(ISBLANK('[1]Cobalt Qualified Studies'!N13),"",'[1]Cobalt Qualified Studies'!N13)</f>
        <v/>
      </c>
      <c r="S14" s="8"/>
      <c r="T14" s="9"/>
      <c r="V14" s="3" t="str">
        <f>IF(ISBLANK('[1]Cobalt Peripheral Studies'!A13),"",'[1]Cobalt Peripheral Studies'!A13)</f>
        <v>Wu et al. (2019)</v>
      </c>
      <c r="W14" s="3" t="str">
        <f>IF(ISBLANK('[1]Cobalt Peripheral Studies'!B13),"",'[1]Cobalt Peripheral Studies'!B13)</f>
        <v>Superior “green” electrode materials for secondary batteries: through the footprint family indicators to analyze their environmental friendliness</v>
      </c>
      <c r="X14" s="3" t="str">
        <f>IF(ISBLANK('[1]Cobalt Peripheral Studies'!C13),"",'[1]Cobalt Peripheral Studies'!C13)</f>
        <v>https://doi.org/10.1007/s11356-019-06865-6</v>
      </c>
      <c r="Y14" s="3" t="str">
        <f>IF(ISBLANK('[1]Cobalt Peripheral Studies'!D13),"",'[1]Cobalt Peripheral Studies'!D13)</f>
        <v>Literature</v>
      </c>
      <c r="Z14" s="3" t="str">
        <f>IF(ISBLANK('[1]Cobalt Peripheral Studies'!E13),"",'[1]Cobalt Peripheral Studies'!E13)</f>
        <v xml:space="preserve">LiNi1/3Co1/3Mn1/3O2 → Co responsible for 11.35% of 19.559 kg CO2 eq per kg cathode material → 2,22 kg CO2 eq per kg cathode materials 
LiNi0.8Co0.2O2 → Co responsible for 6,42% of 20,555 kg CO2 eq per kg cathode material → 1,32 kg CO2 eq per kg cathode materials
</v>
      </c>
      <c r="AA14" s="3" t="str">
        <f>IF(ISBLANK('[1]Cobalt Peripheral Studies'!F13),"",'[1]Cobalt Peripheral Studies'!F13)</f>
        <v>yes → “The research data are collected in accordance with the relation of production process, to ensure the representativeness, accuracy, and comparability of the data.”</v>
      </c>
      <c r="AB14" s="3" t="str">
        <f>IF(ISBLANK('[1]Cobalt Peripheral Studies'!G13),"",'[1]Cobalt Peripheral Studies'!G13)</f>
        <v>1 kg cathode material</v>
      </c>
      <c r="AC14" s="3" t="str">
        <f>IF(ISBLANK('[1]Cobalt Peripheral Studies'!H13),"",'[1]Cobalt Peripheral Studies'!H13)</f>
        <v>“The system boundary is from raw material acquisition, processing, and producing except for recycling process”</v>
      </c>
      <c r="AD14" s="3" t="str">
        <f>IF(ISBLANK('[1]Cobalt Peripheral Studies'!I13),"",'[1]Cobalt Peripheral Studies'!I13)</f>
        <v>-- intransparent</v>
      </c>
      <c r="AE14" s="3" t="str">
        <f>IF(ISBLANK('[1]Cobalt Peripheral Studies'!J13),"",'[1]Cobalt Peripheral Studies'!J13)</f>
        <v>Cobalt</v>
      </c>
    </row>
    <row r="15" spans="1:37" x14ac:dyDescent="0.3">
      <c r="D15" s="1" t="str">
        <f t="shared" si="0"/>
        <v/>
      </c>
      <c r="E15" s="3" t="str">
        <f>IF(ISBLANK('[1]Cobalt Qualified Studies'!A14),"",'[1]Cobalt Qualified Studies'!A14)</f>
        <v/>
      </c>
      <c r="F15" s="3" t="str">
        <f>IF(ISBLANK('[1]Cobalt Qualified Studies'!B14),"",'[1]Cobalt Qualified Studies'!B14)</f>
        <v/>
      </c>
      <c r="G15" s="3" t="str">
        <f>IF(ISBLANK('[1]Cobalt Qualified Studies'!C14),"",'[1]Cobalt Qualified Studies'!C14)</f>
        <v/>
      </c>
      <c r="H15" s="3" t="str">
        <f>IF(ISBLANK('[1]Cobalt Qualified Studies'!D14),"",'[1]Cobalt Qualified Studies'!D14)</f>
        <v/>
      </c>
      <c r="I15" s="3" t="str">
        <f>IF(ISBLANK('[1]Cobalt Qualified Studies'!E14),"",'[1]Cobalt Qualified Studies'!E14)</f>
        <v/>
      </c>
      <c r="J15" s="3" t="str">
        <f>IF(ISBLANK('[1]Cobalt Qualified Studies'!F14),"",'[1]Cobalt Qualified Studies'!F14)</f>
        <v/>
      </c>
      <c r="K15" s="3" t="str">
        <f>IF(ISBLANK('[1]Cobalt Qualified Studies'!G14),"",'[1]Cobalt Qualified Studies'!G14)</f>
        <v/>
      </c>
      <c r="L15" s="3" t="str">
        <f>IF(ISBLANK('[1]Cobalt Qualified Studies'!H14),"",'[1]Cobalt Qualified Studies'!H14)</f>
        <v/>
      </c>
      <c r="M15" s="3" t="str">
        <f>IF(ISBLANK('[1]Cobalt Qualified Studies'!I14),"",'[1]Cobalt Qualified Studies'!I14)</f>
        <v/>
      </c>
      <c r="N15" s="3" t="str">
        <f>IF(ISBLANK('[1]Cobalt Qualified Studies'!J14),"",'[1]Cobalt Qualified Studies'!J14)</f>
        <v/>
      </c>
      <c r="O15" s="3" t="str">
        <f>IF(ISBLANK('[1]Cobalt Qualified Studies'!K14),"",'[1]Cobalt Qualified Studies'!K14)</f>
        <v/>
      </c>
      <c r="P15" s="3" t="str">
        <f>IF(ISBLANK('[1]Cobalt Qualified Studies'!L14),"",'[1]Cobalt Qualified Studies'!L14)</f>
        <v/>
      </c>
      <c r="Q15" s="3" t="str">
        <f>IF(ISBLANK('[1]Cobalt Qualified Studies'!M14),"",'[1]Cobalt Qualified Studies'!M14)</f>
        <v/>
      </c>
      <c r="R15" s="3" t="str">
        <f>IF(ISBLANK('[1]Cobalt Qualified Studies'!N14),"",'[1]Cobalt Qualified Studies'!N14)</f>
        <v/>
      </c>
      <c r="S15" s="8"/>
      <c r="T15" s="9"/>
      <c r="V15" s="3" t="str">
        <f>IF(ISBLANK('[1]Cobalt Peripheral Studies'!A14),"",'[1]Cobalt Peripheral Studies'!A14)</f>
        <v/>
      </c>
      <c r="W15" s="3" t="str">
        <f>IF(ISBLANK('[1]Cobalt Peripheral Studies'!B14),"",'[1]Cobalt Peripheral Studies'!B14)</f>
        <v/>
      </c>
      <c r="X15" s="3" t="str">
        <f>IF(ISBLANK('[1]Cobalt Peripheral Studies'!C14),"",'[1]Cobalt Peripheral Studies'!C14)</f>
        <v/>
      </c>
      <c r="Y15" s="3" t="str">
        <f>IF(ISBLANK('[1]Cobalt Peripheral Studies'!D14),"",'[1]Cobalt Peripheral Studies'!D14)</f>
        <v/>
      </c>
      <c r="Z15" s="3" t="str">
        <f>IF(ISBLANK('[1]Cobalt Peripheral Studies'!E14),"",'[1]Cobalt Peripheral Studies'!E14)</f>
        <v/>
      </c>
      <c r="AA15" s="3" t="str">
        <f>IF(ISBLANK('[1]Cobalt Peripheral Studies'!F14),"",'[1]Cobalt Peripheral Studies'!F14)</f>
        <v/>
      </c>
      <c r="AB15" s="3" t="str">
        <f>IF(ISBLANK('[1]Cobalt Peripheral Studies'!G14),"",'[1]Cobalt Peripheral Studies'!G14)</f>
        <v/>
      </c>
      <c r="AC15" s="3" t="str">
        <f>IF(ISBLANK('[1]Cobalt Peripheral Studies'!H14),"",'[1]Cobalt Peripheral Studies'!H14)</f>
        <v/>
      </c>
      <c r="AD15" s="3" t="str">
        <f>IF(ISBLANK('[1]Cobalt Peripheral Studies'!I14),"",'[1]Cobalt Peripheral Studies'!I14)</f>
        <v/>
      </c>
      <c r="AE15" s="3" t="str">
        <f>IF(ISBLANK('[1]Cobalt Peripheral Studies'!J14),"",'[1]Cobalt Peripheral Studies'!J14)</f>
        <v/>
      </c>
    </row>
    <row r="16" spans="1:37" x14ac:dyDescent="0.3">
      <c r="D16" s="1" t="str">
        <f t="shared" si="0"/>
        <v/>
      </c>
      <c r="E16" s="3" t="str">
        <f>IF(ISBLANK('[1]Cobalt Qualified Studies'!A15),"",'[1]Cobalt Qualified Studies'!A15)</f>
        <v/>
      </c>
      <c r="F16" s="3" t="str">
        <f>IF(ISBLANK('[1]Cobalt Qualified Studies'!B15),"",'[1]Cobalt Qualified Studies'!B15)</f>
        <v/>
      </c>
      <c r="G16" s="3" t="str">
        <f>IF(ISBLANK('[1]Cobalt Qualified Studies'!C15),"",'[1]Cobalt Qualified Studies'!C15)</f>
        <v/>
      </c>
      <c r="H16" s="3" t="str">
        <f>IF(ISBLANK('[1]Cobalt Qualified Studies'!D15),"",'[1]Cobalt Qualified Studies'!D15)</f>
        <v/>
      </c>
      <c r="I16" s="3" t="str">
        <f>IF(ISBLANK('[1]Cobalt Qualified Studies'!E15),"",'[1]Cobalt Qualified Studies'!E15)</f>
        <v/>
      </c>
      <c r="J16" s="3" t="str">
        <f>IF(ISBLANK('[1]Cobalt Qualified Studies'!F15),"",'[1]Cobalt Qualified Studies'!F15)</f>
        <v/>
      </c>
      <c r="K16" s="3" t="str">
        <f>IF(ISBLANK('[1]Cobalt Qualified Studies'!G15),"",'[1]Cobalt Qualified Studies'!G15)</f>
        <v/>
      </c>
      <c r="L16" s="3" t="str">
        <f>IF(ISBLANK('[1]Cobalt Qualified Studies'!H15),"",'[1]Cobalt Qualified Studies'!H15)</f>
        <v/>
      </c>
      <c r="M16" s="3" t="str">
        <f>IF(ISBLANK('[1]Cobalt Qualified Studies'!I15),"",'[1]Cobalt Qualified Studies'!I15)</f>
        <v/>
      </c>
      <c r="N16" s="3" t="str">
        <f>IF(ISBLANK('[1]Cobalt Qualified Studies'!J15),"",'[1]Cobalt Qualified Studies'!J15)</f>
        <v/>
      </c>
      <c r="O16" s="3" t="str">
        <f>IF(ISBLANK('[1]Cobalt Qualified Studies'!K15),"",'[1]Cobalt Qualified Studies'!K15)</f>
        <v/>
      </c>
      <c r="P16" s="3" t="str">
        <f>IF(ISBLANK('[1]Cobalt Qualified Studies'!L15),"",'[1]Cobalt Qualified Studies'!L15)</f>
        <v/>
      </c>
      <c r="Q16" s="3" t="str">
        <f>IF(ISBLANK('[1]Cobalt Qualified Studies'!M15),"",'[1]Cobalt Qualified Studies'!M15)</f>
        <v/>
      </c>
      <c r="R16" s="3" t="str">
        <f>IF(ISBLANK('[1]Cobalt Qualified Studies'!N15),"",'[1]Cobalt Qualified Studies'!N15)</f>
        <v/>
      </c>
      <c r="S16" s="8"/>
      <c r="T16" s="9"/>
      <c r="V16" s="3" t="str">
        <f>IF(ISBLANK('[1]Cobalt Peripheral Studies'!A15),"",'[1]Cobalt Peripheral Studies'!A15)</f>
        <v/>
      </c>
      <c r="W16" s="3" t="str">
        <f>IF(ISBLANK('[1]Cobalt Peripheral Studies'!B15),"",'[1]Cobalt Peripheral Studies'!B15)</f>
        <v/>
      </c>
      <c r="X16" s="3" t="str">
        <f>IF(ISBLANK('[1]Cobalt Peripheral Studies'!C15),"",'[1]Cobalt Peripheral Studies'!C15)</f>
        <v/>
      </c>
      <c r="Y16" s="3" t="str">
        <f>IF(ISBLANK('[1]Cobalt Peripheral Studies'!D15),"",'[1]Cobalt Peripheral Studies'!D15)</f>
        <v/>
      </c>
      <c r="Z16" s="3" t="str">
        <f>IF(ISBLANK('[1]Cobalt Peripheral Studies'!E15),"",'[1]Cobalt Peripheral Studies'!E15)</f>
        <v/>
      </c>
      <c r="AA16" s="3" t="str">
        <f>IF(ISBLANK('[1]Cobalt Peripheral Studies'!F15),"",'[1]Cobalt Peripheral Studies'!F15)</f>
        <v/>
      </c>
      <c r="AB16" s="3" t="str">
        <f>IF(ISBLANK('[1]Cobalt Peripheral Studies'!G15),"",'[1]Cobalt Peripheral Studies'!G15)</f>
        <v/>
      </c>
      <c r="AC16" s="3" t="str">
        <f>IF(ISBLANK('[1]Cobalt Peripheral Studies'!H15),"",'[1]Cobalt Peripheral Studies'!H15)</f>
        <v/>
      </c>
      <c r="AD16" s="3" t="str">
        <f>IF(ISBLANK('[1]Cobalt Peripheral Studies'!I15),"",'[1]Cobalt Peripheral Studies'!I15)</f>
        <v/>
      </c>
      <c r="AE16" s="3" t="str">
        <f>IF(ISBLANK('[1]Cobalt Peripheral Studies'!J15),"",'[1]Cobalt Peripheral Studies'!J15)</f>
        <v/>
      </c>
    </row>
    <row r="17" spans="4:31" x14ac:dyDescent="0.3">
      <c r="D17" s="1" t="str">
        <f t="shared" si="0"/>
        <v/>
      </c>
      <c r="E17" s="3" t="str">
        <f>IF(ISBLANK('[1]Cobalt Qualified Studies'!A16),"",'[1]Cobalt Qualified Studies'!A16)</f>
        <v/>
      </c>
      <c r="F17" s="3" t="str">
        <f>IF(ISBLANK('[1]Cobalt Qualified Studies'!B16),"",'[1]Cobalt Qualified Studies'!B16)</f>
        <v/>
      </c>
      <c r="G17" s="3" t="str">
        <f>IF(ISBLANK('[1]Cobalt Qualified Studies'!C16),"",'[1]Cobalt Qualified Studies'!C16)</f>
        <v/>
      </c>
      <c r="H17" s="3" t="str">
        <f>IF(ISBLANK('[1]Cobalt Qualified Studies'!D16),"",'[1]Cobalt Qualified Studies'!D16)</f>
        <v/>
      </c>
      <c r="I17" s="3" t="str">
        <f>IF(ISBLANK('[1]Cobalt Qualified Studies'!E16),"",'[1]Cobalt Qualified Studies'!E16)</f>
        <v/>
      </c>
      <c r="J17" s="3" t="str">
        <f>IF(ISBLANK('[1]Cobalt Qualified Studies'!F16),"",'[1]Cobalt Qualified Studies'!F16)</f>
        <v/>
      </c>
      <c r="K17" s="3" t="str">
        <f>IF(ISBLANK('[1]Cobalt Qualified Studies'!G16),"",'[1]Cobalt Qualified Studies'!G16)</f>
        <v/>
      </c>
      <c r="L17" s="3" t="str">
        <f>IF(ISBLANK('[1]Cobalt Qualified Studies'!H16),"",'[1]Cobalt Qualified Studies'!H16)</f>
        <v/>
      </c>
      <c r="M17" s="3" t="str">
        <f>IF(ISBLANK('[1]Cobalt Qualified Studies'!I16),"",'[1]Cobalt Qualified Studies'!I16)</f>
        <v/>
      </c>
      <c r="N17" s="3" t="str">
        <f>IF(ISBLANK('[1]Cobalt Qualified Studies'!J16),"",'[1]Cobalt Qualified Studies'!J16)</f>
        <v/>
      </c>
      <c r="O17" s="3" t="str">
        <f>IF(ISBLANK('[1]Cobalt Qualified Studies'!K16),"",'[1]Cobalt Qualified Studies'!K16)</f>
        <v/>
      </c>
      <c r="P17" s="3" t="str">
        <f>IF(ISBLANK('[1]Cobalt Qualified Studies'!L16),"",'[1]Cobalt Qualified Studies'!L16)</f>
        <v/>
      </c>
      <c r="Q17" s="3" t="str">
        <f>IF(ISBLANK('[1]Cobalt Qualified Studies'!M16),"",'[1]Cobalt Qualified Studies'!M16)</f>
        <v/>
      </c>
      <c r="R17" s="3" t="str">
        <f>IF(ISBLANK('[1]Cobalt Qualified Studies'!N16),"",'[1]Cobalt Qualified Studies'!N16)</f>
        <v/>
      </c>
      <c r="S17" s="8"/>
      <c r="T17" s="9"/>
      <c r="V17" s="3" t="str">
        <f>IF(ISBLANK('[1]Cobalt Peripheral Studies'!A16),"",'[1]Cobalt Peripheral Studies'!A16)</f>
        <v/>
      </c>
      <c r="W17" s="3" t="str">
        <f>IF(ISBLANK('[1]Cobalt Peripheral Studies'!B16),"",'[1]Cobalt Peripheral Studies'!B16)</f>
        <v/>
      </c>
      <c r="X17" s="3" t="str">
        <f>IF(ISBLANK('[1]Cobalt Peripheral Studies'!C16),"",'[1]Cobalt Peripheral Studies'!C16)</f>
        <v/>
      </c>
      <c r="Y17" s="3" t="str">
        <f>IF(ISBLANK('[1]Cobalt Peripheral Studies'!D16),"",'[1]Cobalt Peripheral Studies'!D16)</f>
        <v/>
      </c>
      <c r="Z17" s="3" t="str">
        <f>IF(ISBLANK('[1]Cobalt Peripheral Studies'!E16),"",'[1]Cobalt Peripheral Studies'!E16)</f>
        <v/>
      </c>
      <c r="AA17" s="3" t="str">
        <f>IF(ISBLANK('[1]Cobalt Peripheral Studies'!F16),"",'[1]Cobalt Peripheral Studies'!F16)</f>
        <v/>
      </c>
      <c r="AB17" s="3" t="str">
        <f>IF(ISBLANK('[1]Cobalt Peripheral Studies'!G16),"",'[1]Cobalt Peripheral Studies'!G16)</f>
        <v/>
      </c>
      <c r="AC17" s="3" t="str">
        <f>IF(ISBLANK('[1]Cobalt Peripheral Studies'!H16),"",'[1]Cobalt Peripheral Studies'!H16)</f>
        <v/>
      </c>
      <c r="AD17" s="3" t="str">
        <f>IF(ISBLANK('[1]Cobalt Peripheral Studies'!I16),"",'[1]Cobalt Peripheral Studies'!I16)</f>
        <v/>
      </c>
      <c r="AE17" s="3" t="str">
        <f>IF(ISBLANK('[1]Cobalt Peripheral Studies'!J16),"",'[1]Cobalt Peripheral Studies'!J16)</f>
        <v/>
      </c>
    </row>
    <row r="18" spans="4:31" x14ac:dyDescent="0.3">
      <c r="D18" s="1" t="str">
        <f t="shared" si="0"/>
        <v/>
      </c>
      <c r="E18" s="3" t="str">
        <f>IF(ISBLANK('[1]Cobalt Qualified Studies'!A17),"",'[1]Cobalt Qualified Studies'!A17)</f>
        <v/>
      </c>
      <c r="F18" s="3" t="str">
        <f>IF(ISBLANK('[1]Cobalt Qualified Studies'!B17),"",'[1]Cobalt Qualified Studies'!B17)</f>
        <v/>
      </c>
      <c r="G18" s="3" t="str">
        <f>IF(ISBLANK('[1]Cobalt Qualified Studies'!C17),"",'[1]Cobalt Qualified Studies'!C17)</f>
        <v/>
      </c>
      <c r="H18" s="3" t="str">
        <f>IF(ISBLANK('[1]Cobalt Qualified Studies'!D17),"",'[1]Cobalt Qualified Studies'!D17)</f>
        <v/>
      </c>
      <c r="I18" s="3" t="str">
        <f>IF(ISBLANK('[1]Cobalt Qualified Studies'!E17),"",'[1]Cobalt Qualified Studies'!E17)</f>
        <v/>
      </c>
      <c r="J18" s="3" t="str">
        <f>IF(ISBLANK('[1]Cobalt Qualified Studies'!F17),"",'[1]Cobalt Qualified Studies'!F17)</f>
        <v/>
      </c>
      <c r="K18" s="3" t="str">
        <f>IF(ISBLANK('[1]Cobalt Qualified Studies'!G17),"",'[1]Cobalt Qualified Studies'!G17)</f>
        <v/>
      </c>
      <c r="L18" s="3" t="str">
        <f>IF(ISBLANK('[1]Cobalt Qualified Studies'!H17),"",'[1]Cobalt Qualified Studies'!H17)</f>
        <v/>
      </c>
      <c r="M18" s="3" t="str">
        <f>IF(ISBLANK('[1]Cobalt Qualified Studies'!I17),"",'[1]Cobalt Qualified Studies'!I17)</f>
        <v/>
      </c>
      <c r="N18" s="3" t="str">
        <f>IF(ISBLANK('[1]Cobalt Qualified Studies'!J17),"",'[1]Cobalt Qualified Studies'!J17)</f>
        <v/>
      </c>
      <c r="O18" s="3" t="str">
        <f>IF(ISBLANK('[1]Cobalt Qualified Studies'!K17),"",'[1]Cobalt Qualified Studies'!K17)</f>
        <v/>
      </c>
      <c r="P18" s="3" t="str">
        <f>IF(ISBLANK('[1]Cobalt Qualified Studies'!L17),"",'[1]Cobalt Qualified Studies'!L17)</f>
        <v/>
      </c>
      <c r="Q18" s="3" t="str">
        <f>IF(ISBLANK('[1]Cobalt Qualified Studies'!M17),"",'[1]Cobalt Qualified Studies'!M17)</f>
        <v/>
      </c>
      <c r="R18" s="3" t="str">
        <f>IF(ISBLANK('[1]Cobalt Qualified Studies'!N17),"",'[1]Cobalt Qualified Studies'!N17)</f>
        <v/>
      </c>
      <c r="S18" s="8"/>
      <c r="T18" s="9"/>
      <c r="V18" s="3" t="str">
        <f>IF(ISBLANK('[1]Cobalt Peripheral Studies'!A17),"",'[1]Cobalt Peripheral Studies'!A17)</f>
        <v/>
      </c>
      <c r="W18" s="3" t="str">
        <f>IF(ISBLANK('[1]Cobalt Peripheral Studies'!B17),"",'[1]Cobalt Peripheral Studies'!B17)</f>
        <v/>
      </c>
      <c r="X18" s="3" t="str">
        <f>IF(ISBLANK('[1]Cobalt Peripheral Studies'!C17),"",'[1]Cobalt Peripheral Studies'!C17)</f>
        <v/>
      </c>
      <c r="Y18" s="3" t="str">
        <f>IF(ISBLANK('[1]Cobalt Peripheral Studies'!D17),"",'[1]Cobalt Peripheral Studies'!D17)</f>
        <v/>
      </c>
      <c r="Z18" s="3" t="str">
        <f>IF(ISBLANK('[1]Cobalt Peripheral Studies'!E17),"",'[1]Cobalt Peripheral Studies'!E17)</f>
        <v/>
      </c>
      <c r="AA18" s="3" t="str">
        <f>IF(ISBLANK('[1]Cobalt Peripheral Studies'!F17),"",'[1]Cobalt Peripheral Studies'!F17)</f>
        <v/>
      </c>
      <c r="AB18" s="3" t="str">
        <f>IF(ISBLANK('[1]Cobalt Peripheral Studies'!G17),"",'[1]Cobalt Peripheral Studies'!G17)</f>
        <v/>
      </c>
      <c r="AC18" s="3" t="str">
        <f>IF(ISBLANK('[1]Cobalt Peripheral Studies'!H17),"",'[1]Cobalt Peripheral Studies'!H17)</f>
        <v/>
      </c>
      <c r="AD18" s="3" t="str">
        <f>IF(ISBLANK('[1]Cobalt Peripheral Studies'!I17),"",'[1]Cobalt Peripheral Studies'!I17)</f>
        <v/>
      </c>
      <c r="AE18" s="3" t="str">
        <f>IF(ISBLANK('[1]Cobalt Peripheral Studies'!J17),"",'[1]Cobalt Peripheral Studies'!J17)</f>
        <v/>
      </c>
    </row>
    <row r="19" spans="4:31" x14ac:dyDescent="0.3">
      <c r="D19" s="1" t="str">
        <f t="shared" si="0"/>
        <v/>
      </c>
      <c r="E19" s="3" t="str">
        <f>IF(ISBLANK('[1]Cobalt Qualified Studies'!A18),"",'[1]Cobalt Qualified Studies'!A18)</f>
        <v/>
      </c>
      <c r="F19" s="3" t="str">
        <f>IF(ISBLANK('[1]Cobalt Qualified Studies'!B18),"",'[1]Cobalt Qualified Studies'!B18)</f>
        <v/>
      </c>
      <c r="G19" s="3" t="str">
        <f>IF(ISBLANK('[1]Cobalt Qualified Studies'!C18),"",'[1]Cobalt Qualified Studies'!C18)</f>
        <v/>
      </c>
      <c r="H19" s="3" t="str">
        <f>IF(ISBLANK('[1]Cobalt Qualified Studies'!D18),"",'[1]Cobalt Qualified Studies'!D18)</f>
        <v/>
      </c>
      <c r="I19" s="3" t="str">
        <f>IF(ISBLANK('[1]Cobalt Qualified Studies'!E18),"",'[1]Cobalt Qualified Studies'!E18)</f>
        <v/>
      </c>
      <c r="J19" s="3" t="str">
        <f>IF(ISBLANK('[1]Cobalt Qualified Studies'!F18),"",'[1]Cobalt Qualified Studies'!F18)</f>
        <v/>
      </c>
      <c r="K19" s="3" t="str">
        <f>IF(ISBLANK('[1]Cobalt Qualified Studies'!G18),"",'[1]Cobalt Qualified Studies'!G18)</f>
        <v/>
      </c>
      <c r="L19" s="3" t="str">
        <f>IF(ISBLANK('[1]Cobalt Qualified Studies'!H18),"",'[1]Cobalt Qualified Studies'!H18)</f>
        <v/>
      </c>
      <c r="M19" s="3" t="str">
        <f>IF(ISBLANK('[1]Cobalt Qualified Studies'!I18),"",'[1]Cobalt Qualified Studies'!I18)</f>
        <v/>
      </c>
      <c r="N19" s="3" t="str">
        <f>IF(ISBLANK('[1]Cobalt Qualified Studies'!J18),"",'[1]Cobalt Qualified Studies'!J18)</f>
        <v/>
      </c>
      <c r="O19" s="3" t="str">
        <f>IF(ISBLANK('[1]Cobalt Qualified Studies'!K18),"",'[1]Cobalt Qualified Studies'!K18)</f>
        <v/>
      </c>
      <c r="P19" s="3" t="str">
        <f>IF(ISBLANK('[1]Cobalt Qualified Studies'!L18),"",'[1]Cobalt Qualified Studies'!L18)</f>
        <v/>
      </c>
      <c r="Q19" s="3" t="str">
        <f>IF(ISBLANK('[1]Cobalt Qualified Studies'!M18),"",'[1]Cobalt Qualified Studies'!M18)</f>
        <v/>
      </c>
      <c r="R19" s="3" t="str">
        <f>IF(ISBLANK('[1]Cobalt Qualified Studies'!N18),"",'[1]Cobalt Qualified Studies'!N18)</f>
        <v/>
      </c>
      <c r="S19" s="8"/>
      <c r="T19" s="9"/>
      <c r="V19" s="3" t="str">
        <f>IF(ISBLANK('[1]Cobalt Peripheral Studies'!A18),"",'[1]Cobalt Peripheral Studies'!A18)</f>
        <v/>
      </c>
      <c r="W19" s="3" t="str">
        <f>IF(ISBLANK('[1]Cobalt Peripheral Studies'!B18),"",'[1]Cobalt Peripheral Studies'!B18)</f>
        <v/>
      </c>
      <c r="X19" s="3" t="str">
        <f>IF(ISBLANK('[1]Cobalt Peripheral Studies'!C18),"",'[1]Cobalt Peripheral Studies'!C18)</f>
        <v/>
      </c>
      <c r="Y19" s="3" t="str">
        <f>IF(ISBLANK('[1]Cobalt Peripheral Studies'!D18),"",'[1]Cobalt Peripheral Studies'!D18)</f>
        <v/>
      </c>
      <c r="Z19" s="3" t="str">
        <f>IF(ISBLANK('[1]Cobalt Peripheral Studies'!E18),"",'[1]Cobalt Peripheral Studies'!E18)</f>
        <v/>
      </c>
      <c r="AA19" s="3" t="str">
        <f>IF(ISBLANK('[1]Cobalt Peripheral Studies'!F18),"",'[1]Cobalt Peripheral Studies'!F18)</f>
        <v/>
      </c>
      <c r="AB19" s="3" t="str">
        <f>IF(ISBLANK('[1]Cobalt Peripheral Studies'!G18),"",'[1]Cobalt Peripheral Studies'!G18)</f>
        <v/>
      </c>
      <c r="AC19" s="3" t="str">
        <f>IF(ISBLANK('[1]Cobalt Peripheral Studies'!H18),"",'[1]Cobalt Peripheral Studies'!H18)</f>
        <v/>
      </c>
      <c r="AD19" s="3" t="str">
        <f>IF(ISBLANK('[1]Cobalt Peripheral Studies'!I18),"",'[1]Cobalt Peripheral Studies'!I18)</f>
        <v/>
      </c>
      <c r="AE19" s="3" t="str">
        <f>IF(ISBLANK('[1]Cobalt Peripheral Studies'!J18),"",'[1]Cobalt Peripheral Studies'!J18)</f>
        <v/>
      </c>
    </row>
    <row r="20" spans="4:31" x14ac:dyDescent="0.3">
      <c r="D20" s="1" t="str">
        <f t="shared" si="0"/>
        <v/>
      </c>
      <c r="E20" s="3" t="str">
        <f>IF(ISBLANK('[1]Cobalt Qualified Studies'!A19),"",'[1]Cobalt Qualified Studies'!A19)</f>
        <v/>
      </c>
      <c r="F20" s="3" t="str">
        <f>IF(ISBLANK('[1]Cobalt Qualified Studies'!B19),"",'[1]Cobalt Qualified Studies'!B19)</f>
        <v/>
      </c>
      <c r="G20" s="3" t="str">
        <f>IF(ISBLANK('[1]Cobalt Qualified Studies'!C19),"",'[1]Cobalt Qualified Studies'!C19)</f>
        <v/>
      </c>
      <c r="H20" s="3" t="str">
        <f>IF(ISBLANK('[1]Cobalt Qualified Studies'!D19),"",'[1]Cobalt Qualified Studies'!D19)</f>
        <v/>
      </c>
      <c r="I20" s="3" t="str">
        <f>IF(ISBLANK('[1]Cobalt Qualified Studies'!E19),"",'[1]Cobalt Qualified Studies'!E19)</f>
        <v/>
      </c>
      <c r="J20" s="3" t="str">
        <f>IF(ISBLANK('[1]Cobalt Qualified Studies'!F19),"",'[1]Cobalt Qualified Studies'!F19)</f>
        <v/>
      </c>
      <c r="K20" s="3" t="str">
        <f>IF(ISBLANK('[1]Cobalt Qualified Studies'!G19),"",'[1]Cobalt Qualified Studies'!G19)</f>
        <v/>
      </c>
      <c r="L20" s="3" t="str">
        <f>IF(ISBLANK('[1]Cobalt Qualified Studies'!H19),"",'[1]Cobalt Qualified Studies'!H19)</f>
        <v/>
      </c>
      <c r="M20" s="3" t="str">
        <f>IF(ISBLANK('[1]Cobalt Qualified Studies'!I19),"",'[1]Cobalt Qualified Studies'!I19)</f>
        <v/>
      </c>
      <c r="N20" s="3" t="str">
        <f>IF(ISBLANK('[1]Cobalt Qualified Studies'!J19),"",'[1]Cobalt Qualified Studies'!J19)</f>
        <v/>
      </c>
      <c r="O20" s="3" t="str">
        <f>IF(ISBLANK('[1]Cobalt Qualified Studies'!K19),"",'[1]Cobalt Qualified Studies'!K19)</f>
        <v/>
      </c>
      <c r="P20" s="3" t="str">
        <f>IF(ISBLANK('[1]Cobalt Qualified Studies'!L19),"",'[1]Cobalt Qualified Studies'!L19)</f>
        <v/>
      </c>
      <c r="Q20" s="3" t="str">
        <f>IF(ISBLANK('[1]Cobalt Qualified Studies'!M19),"",'[1]Cobalt Qualified Studies'!M19)</f>
        <v/>
      </c>
      <c r="R20" s="3" t="str">
        <f>IF(ISBLANK('[1]Cobalt Qualified Studies'!N19),"",'[1]Cobalt Qualified Studies'!N19)</f>
        <v/>
      </c>
      <c r="S20" s="8"/>
      <c r="T20" s="9"/>
      <c r="V20" s="3" t="str">
        <f>IF(ISBLANK('[1]Cobalt Peripheral Studies'!A19),"",'[1]Cobalt Peripheral Studies'!A19)</f>
        <v/>
      </c>
      <c r="W20" s="3" t="str">
        <f>IF(ISBLANK('[1]Cobalt Peripheral Studies'!B19),"",'[1]Cobalt Peripheral Studies'!B19)</f>
        <v/>
      </c>
      <c r="X20" s="3" t="str">
        <f>IF(ISBLANK('[1]Cobalt Peripheral Studies'!C19),"",'[1]Cobalt Peripheral Studies'!C19)</f>
        <v/>
      </c>
      <c r="Y20" s="3" t="str">
        <f>IF(ISBLANK('[1]Cobalt Peripheral Studies'!D19),"",'[1]Cobalt Peripheral Studies'!D19)</f>
        <v/>
      </c>
      <c r="Z20" s="3" t="str">
        <f>IF(ISBLANK('[1]Cobalt Peripheral Studies'!E19),"",'[1]Cobalt Peripheral Studies'!E19)</f>
        <v/>
      </c>
      <c r="AA20" s="3" t="str">
        <f>IF(ISBLANK('[1]Cobalt Peripheral Studies'!F19),"",'[1]Cobalt Peripheral Studies'!F19)</f>
        <v/>
      </c>
      <c r="AB20" s="3" t="str">
        <f>IF(ISBLANK('[1]Cobalt Peripheral Studies'!G19),"",'[1]Cobalt Peripheral Studies'!G19)</f>
        <v/>
      </c>
      <c r="AC20" s="3" t="str">
        <f>IF(ISBLANK('[1]Cobalt Peripheral Studies'!H19),"",'[1]Cobalt Peripheral Studies'!H19)</f>
        <v/>
      </c>
      <c r="AD20" s="3" t="str">
        <f>IF(ISBLANK('[1]Cobalt Peripheral Studies'!I19),"",'[1]Cobalt Peripheral Studies'!I19)</f>
        <v/>
      </c>
      <c r="AE20" s="3" t="str">
        <f>IF(ISBLANK('[1]Cobalt Peripheral Studies'!J19),"",'[1]Cobalt Peripheral Studies'!J19)</f>
        <v/>
      </c>
    </row>
    <row r="21" spans="4:31" x14ac:dyDescent="0.3">
      <c r="D21" s="1" t="str">
        <f t="shared" si="0"/>
        <v/>
      </c>
      <c r="E21" s="3" t="str">
        <f>IF(ISBLANK('[1]Cobalt Qualified Studies'!A20),"",'[1]Cobalt Qualified Studies'!A20)</f>
        <v/>
      </c>
      <c r="F21" s="3" t="str">
        <f>IF(ISBLANK('[1]Cobalt Qualified Studies'!B20),"",'[1]Cobalt Qualified Studies'!B20)</f>
        <v/>
      </c>
      <c r="G21" s="3" t="str">
        <f>IF(ISBLANK('[1]Cobalt Qualified Studies'!C20),"",'[1]Cobalt Qualified Studies'!C20)</f>
        <v/>
      </c>
      <c r="H21" s="3" t="str">
        <f>IF(ISBLANK('[1]Cobalt Qualified Studies'!D20),"",'[1]Cobalt Qualified Studies'!D20)</f>
        <v/>
      </c>
      <c r="I21" s="3" t="str">
        <f>IF(ISBLANK('[1]Cobalt Qualified Studies'!E20),"",'[1]Cobalt Qualified Studies'!E20)</f>
        <v/>
      </c>
      <c r="J21" s="3" t="str">
        <f>IF(ISBLANK('[1]Cobalt Qualified Studies'!F20),"",'[1]Cobalt Qualified Studies'!F20)</f>
        <v/>
      </c>
      <c r="K21" s="3" t="str">
        <f>IF(ISBLANK('[1]Cobalt Qualified Studies'!G20),"",'[1]Cobalt Qualified Studies'!G20)</f>
        <v/>
      </c>
      <c r="L21" s="3" t="str">
        <f>IF(ISBLANK('[1]Cobalt Qualified Studies'!H20),"",'[1]Cobalt Qualified Studies'!H20)</f>
        <v/>
      </c>
      <c r="M21" s="3" t="str">
        <f>IF(ISBLANK('[1]Cobalt Qualified Studies'!I20),"",'[1]Cobalt Qualified Studies'!I20)</f>
        <v/>
      </c>
      <c r="N21" s="3" t="str">
        <f>IF(ISBLANK('[1]Cobalt Qualified Studies'!J20),"",'[1]Cobalt Qualified Studies'!J20)</f>
        <v/>
      </c>
      <c r="O21" s="3" t="str">
        <f>IF(ISBLANK('[1]Cobalt Qualified Studies'!K20),"",'[1]Cobalt Qualified Studies'!K20)</f>
        <v/>
      </c>
      <c r="P21" s="3" t="str">
        <f>IF(ISBLANK('[1]Cobalt Qualified Studies'!L20),"",'[1]Cobalt Qualified Studies'!L20)</f>
        <v/>
      </c>
      <c r="Q21" s="3" t="str">
        <f>IF(ISBLANK('[1]Cobalt Qualified Studies'!M20),"",'[1]Cobalt Qualified Studies'!M20)</f>
        <v/>
      </c>
      <c r="R21" s="3" t="str">
        <f>IF(ISBLANK('[1]Cobalt Qualified Studies'!N20),"",'[1]Cobalt Qualified Studies'!N20)</f>
        <v/>
      </c>
      <c r="S21" s="8"/>
      <c r="T21" s="9"/>
      <c r="V21" s="3" t="str">
        <f>IF(ISBLANK('[1]Cobalt Peripheral Studies'!A20),"",'[1]Cobalt Peripheral Studies'!A20)</f>
        <v/>
      </c>
      <c r="W21" s="3" t="str">
        <f>IF(ISBLANK('[1]Cobalt Peripheral Studies'!B20),"",'[1]Cobalt Peripheral Studies'!B20)</f>
        <v/>
      </c>
      <c r="X21" s="3" t="str">
        <f>IF(ISBLANK('[1]Cobalt Peripheral Studies'!C20),"",'[1]Cobalt Peripheral Studies'!C20)</f>
        <v/>
      </c>
      <c r="Y21" s="3" t="str">
        <f>IF(ISBLANK('[1]Cobalt Peripheral Studies'!D20),"",'[1]Cobalt Peripheral Studies'!D20)</f>
        <v/>
      </c>
      <c r="Z21" s="3" t="str">
        <f>IF(ISBLANK('[1]Cobalt Peripheral Studies'!E20),"",'[1]Cobalt Peripheral Studies'!E20)</f>
        <v/>
      </c>
      <c r="AA21" s="3" t="str">
        <f>IF(ISBLANK('[1]Cobalt Peripheral Studies'!F20),"",'[1]Cobalt Peripheral Studies'!F20)</f>
        <v/>
      </c>
      <c r="AB21" s="3" t="str">
        <f>IF(ISBLANK('[1]Cobalt Peripheral Studies'!G20),"",'[1]Cobalt Peripheral Studies'!G20)</f>
        <v/>
      </c>
      <c r="AC21" s="3" t="str">
        <f>IF(ISBLANK('[1]Cobalt Peripheral Studies'!H20),"",'[1]Cobalt Peripheral Studies'!H20)</f>
        <v/>
      </c>
      <c r="AD21" s="3" t="str">
        <f>IF(ISBLANK('[1]Cobalt Peripheral Studies'!I20),"",'[1]Cobalt Peripheral Studies'!I20)</f>
        <v/>
      </c>
      <c r="AE21" s="3" t="str">
        <f>IF(ISBLANK('[1]Cobalt Peripheral Studies'!J20),"",'[1]Cobalt Peripheral Studies'!J20)</f>
        <v/>
      </c>
    </row>
    <row r="22" spans="4:31" x14ac:dyDescent="0.3">
      <c r="D22" s="1" t="str">
        <f t="shared" si="0"/>
        <v/>
      </c>
      <c r="E22" s="3" t="str">
        <f>IF(ISBLANK('[1]Cobalt Qualified Studies'!A21),"",'[1]Cobalt Qualified Studies'!A21)</f>
        <v/>
      </c>
      <c r="F22" s="3" t="str">
        <f>IF(ISBLANK('[1]Cobalt Qualified Studies'!B21),"",'[1]Cobalt Qualified Studies'!B21)</f>
        <v/>
      </c>
      <c r="G22" s="3" t="str">
        <f>IF(ISBLANK('[1]Cobalt Qualified Studies'!C21),"",'[1]Cobalt Qualified Studies'!C21)</f>
        <v/>
      </c>
      <c r="H22" s="3" t="str">
        <f>IF(ISBLANK('[1]Cobalt Qualified Studies'!D21),"",'[1]Cobalt Qualified Studies'!D21)</f>
        <v/>
      </c>
      <c r="I22" s="3" t="str">
        <f>IF(ISBLANK('[1]Cobalt Qualified Studies'!E21),"",'[1]Cobalt Qualified Studies'!E21)</f>
        <v/>
      </c>
      <c r="J22" s="3" t="str">
        <f>IF(ISBLANK('[1]Cobalt Qualified Studies'!F21),"",'[1]Cobalt Qualified Studies'!F21)</f>
        <v/>
      </c>
      <c r="K22" s="3" t="str">
        <f>IF(ISBLANK('[1]Cobalt Qualified Studies'!G21),"",'[1]Cobalt Qualified Studies'!G21)</f>
        <v/>
      </c>
      <c r="L22" s="3" t="str">
        <f>IF(ISBLANK('[1]Cobalt Qualified Studies'!H21),"",'[1]Cobalt Qualified Studies'!H21)</f>
        <v/>
      </c>
      <c r="M22" s="3" t="str">
        <f>IF(ISBLANK('[1]Cobalt Qualified Studies'!I21),"",'[1]Cobalt Qualified Studies'!I21)</f>
        <v/>
      </c>
      <c r="N22" s="3" t="str">
        <f>IF(ISBLANK('[1]Cobalt Qualified Studies'!J21),"",'[1]Cobalt Qualified Studies'!J21)</f>
        <v/>
      </c>
      <c r="O22" s="3" t="str">
        <f>IF(ISBLANK('[1]Cobalt Qualified Studies'!K21),"",'[1]Cobalt Qualified Studies'!K21)</f>
        <v/>
      </c>
      <c r="P22" s="3" t="str">
        <f>IF(ISBLANK('[1]Cobalt Qualified Studies'!L21),"",'[1]Cobalt Qualified Studies'!L21)</f>
        <v/>
      </c>
      <c r="Q22" s="3" t="str">
        <f>IF(ISBLANK('[1]Cobalt Qualified Studies'!M21),"",'[1]Cobalt Qualified Studies'!M21)</f>
        <v/>
      </c>
      <c r="R22" s="3" t="str">
        <f>IF(ISBLANK('[1]Cobalt Qualified Studies'!N21),"",'[1]Cobalt Qualified Studies'!N21)</f>
        <v/>
      </c>
      <c r="S22" s="8"/>
      <c r="T22" s="9"/>
      <c r="V22" s="3" t="str">
        <f>IF(ISBLANK('[1]Cobalt Peripheral Studies'!A21),"",'[1]Cobalt Peripheral Studies'!A21)</f>
        <v/>
      </c>
      <c r="W22" s="3" t="str">
        <f>IF(ISBLANK('[1]Cobalt Peripheral Studies'!B21),"",'[1]Cobalt Peripheral Studies'!B21)</f>
        <v/>
      </c>
      <c r="X22" s="3" t="str">
        <f>IF(ISBLANK('[1]Cobalt Peripheral Studies'!C21),"",'[1]Cobalt Peripheral Studies'!C21)</f>
        <v/>
      </c>
      <c r="Y22" s="3" t="str">
        <f>IF(ISBLANK('[1]Cobalt Peripheral Studies'!D21),"",'[1]Cobalt Peripheral Studies'!D21)</f>
        <v/>
      </c>
      <c r="Z22" s="3" t="str">
        <f>IF(ISBLANK('[1]Cobalt Peripheral Studies'!E21),"",'[1]Cobalt Peripheral Studies'!E21)</f>
        <v/>
      </c>
      <c r="AA22" s="3" t="str">
        <f>IF(ISBLANK('[1]Cobalt Peripheral Studies'!F21),"",'[1]Cobalt Peripheral Studies'!F21)</f>
        <v/>
      </c>
      <c r="AB22" s="3" t="str">
        <f>IF(ISBLANK('[1]Cobalt Peripheral Studies'!G21),"",'[1]Cobalt Peripheral Studies'!G21)</f>
        <v/>
      </c>
      <c r="AC22" s="3" t="str">
        <f>IF(ISBLANK('[1]Cobalt Peripheral Studies'!H21),"",'[1]Cobalt Peripheral Studies'!H21)</f>
        <v/>
      </c>
      <c r="AD22" s="3" t="str">
        <f>IF(ISBLANK('[1]Cobalt Peripheral Studies'!I21),"",'[1]Cobalt Peripheral Studies'!I21)</f>
        <v/>
      </c>
      <c r="AE22" s="3" t="str">
        <f>IF(ISBLANK('[1]Cobalt Peripheral Studies'!J21),"",'[1]Cobalt Peripheral Studies'!J21)</f>
        <v/>
      </c>
    </row>
    <row r="51" spans="5:5" x14ac:dyDescent="0.3">
      <c r="E51" s="6"/>
    </row>
    <row r="52" spans="5:5" x14ac:dyDescent="0.3">
      <c r="E52" s="6"/>
    </row>
  </sheetData>
  <mergeCells count="4">
    <mergeCell ref="A1:C1"/>
    <mergeCell ref="V1:AE1"/>
    <mergeCell ref="E1:R1"/>
    <mergeCell ref="S1:T1"/>
  </mergeCells>
  <conditionalFormatting sqref="D1:D1048576">
    <cfRule type="containsText" dxfId="2" priority="2" operator="containsText" text="ERROR">
      <formula>NOT(ISERROR(SEARCH("ERROR",D1)))</formula>
    </cfRule>
  </conditionalFormatting>
  <conditionalFormatting sqref="E23:AE26">
    <cfRule type="containsText" dxfId="1" priority="1" operator="containsText" text="ERROR">
      <formula>NOT(ISERROR(SEARCH("ERROR",E23)))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B46EC-5B38-411B-A926-022CD4CBEF3D}">
  <dimension ref="A1:TQ49"/>
  <sheetViews>
    <sheetView zoomScale="70" zoomScaleNormal="70" workbookViewId="0">
      <selection sqref="A1:F1"/>
    </sheetView>
  </sheetViews>
  <sheetFormatPr defaultColWidth="10.6640625" defaultRowHeight="14.4" x14ac:dyDescent="0.3"/>
  <cols>
    <col min="1" max="1" width="30.21875" style="45" customWidth="1"/>
    <col min="2" max="2" width="18.109375" style="45" customWidth="1"/>
    <col min="3" max="3" width="16.88671875" style="45" customWidth="1"/>
    <col min="4" max="4" width="16.21875" style="45" customWidth="1"/>
    <col min="5" max="5" width="29.109375" style="6" customWidth="1"/>
    <col min="6" max="6" width="28.5546875" style="6" customWidth="1"/>
    <col min="7" max="7" width="11.5546875" style="1" customWidth="1"/>
    <col min="8" max="8" width="10.6640625" style="6"/>
    <col min="9" max="10" width="10.77734375" style="6" bestFit="1" customWidth="1"/>
    <col min="11" max="11" width="11.33203125" style="6" bestFit="1" customWidth="1"/>
    <col min="12" max="12" width="10.6640625" style="6"/>
    <col min="13" max="13" width="25.21875" style="6" customWidth="1"/>
    <col min="14" max="17" width="10.6640625" style="6"/>
    <col min="18" max="18" width="10.88671875" style="6" customWidth="1"/>
    <col min="19" max="19" width="12" style="6" bestFit="1" customWidth="1"/>
    <col min="20" max="20" width="12.109375" style="6" bestFit="1" customWidth="1"/>
    <col min="21" max="21" width="10.6640625" style="6"/>
    <col min="22" max="22" width="13" style="6" customWidth="1"/>
    <col min="23" max="23" width="18.44140625" style="6" customWidth="1"/>
    <col min="24" max="26" width="10.6640625" style="6"/>
    <col min="27" max="27" width="11.33203125" style="6" bestFit="1" customWidth="1"/>
    <col min="28" max="35" width="10.6640625" style="6"/>
    <col min="36" max="36" width="12.77734375" style="6" bestFit="1" customWidth="1"/>
    <col min="37" max="37" width="13.21875" style="6" bestFit="1" customWidth="1"/>
    <col min="38" max="16384" width="10.6640625" style="6"/>
  </cols>
  <sheetData>
    <row r="1" spans="1:537" ht="43.2" x14ac:dyDescent="0.3">
      <c r="A1" s="85" t="s">
        <v>107</v>
      </c>
      <c r="B1" s="85"/>
      <c r="C1" s="85"/>
      <c r="D1" s="85"/>
      <c r="E1" s="85"/>
      <c r="F1" s="85"/>
      <c r="H1" s="10" t="s">
        <v>103</v>
      </c>
      <c r="I1" s="5"/>
      <c r="J1" s="5"/>
      <c r="K1" s="5"/>
      <c r="L1" s="5"/>
      <c r="M1" s="10"/>
      <c r="N1" s="5"/>
      <c r="O1" s="5"/>
      <c r="P1" s="5"/>
      <c r="Q1" s="5"/>
      <c r="R1" s="10"/>
      <c r="S1" s="5"/>
      <c r="T1" s="5"/>
      <c r="U1" s="5"/>
      <c r="AG1" s="11" t="s">
        <v>663</v>
      </c>
      <c r="AH1" s="12" t="s">
        <v>665</v>
      </c>
      <c r="AI1" s="12" t="s">
        <v>664</v>
      </c>
      <c r="AJ1" s="12" t="s">
        <v>661</v>
      </c>
      <c r="AK1" s="13" t="s">
        <v>662</v>
      </c>
      <c r="AL1" s="6" t="s">
        <v>161</v>
      </c>
      <c r="AM1" s="6" t="s">
        <v>162</v>
      </c>
      <c r="AN1" s="6" t="s">
        <v>163</v>
      </c>
      <c r="AO1" s="6" t="s">
        <v>164</v>
      </c>
      <c r="AP1" s="6" t="s">
        <v>165</v>
      </c>
      <c r="AQ1" s="6" t="s">
        <v>166</v>
      </c>
      <c r="AR1" s="6" t="s">
        <v>167</v>
      </c>
      <c r="AS1" s="6" t="s">
        <v>168</v>
      </c>
      <c r="AT1" s="6" t="s">
        <v>169</v>
      </c>
      <c r="AU1" s="6" t="s">
        <v>170</v>
      </c>
      <c r="AV1" s="6" t="s">
        <v>171</v>
      </c>
      <c r="AW1" s="6" t="s">
        <v>172</v>
      </c>
      <c r="AX1" s="6" t="s">
        <v>173</v>
      </c>
      <c r="AY1" s="6" t="s">
        <v>174</v>
      </c>
      <c r="AZ1" s="6" t="s">
        <v>175</v>
      </c>
      <c r="BA1" s="6" t="s">
        <v>176</v>
      </c>
      <c r="BB1" s="6" t="s">
        <v>177</v>
      </c>
      <c r="BC1" s="6" t="s">
        <v>178</v>
      </c>
      <c r="BD1" s="6" t="s">
        <v>179</v>
      </c>
      <c r="BE1" s="6" t="s">
        <v>180</v>
      </c>
      <c r="BF1" s="6" t="s">
        <v>181</v>
      </c>
      <c r="BG1" s="6" t="s">
        <v>182</v>
      </c>
      <c r="BH1" s="6" t="s">
        <v>183</v>
      </c>
      <c r="BI1" s="6" t="s">
        <v>184</v>
      </c>
      <c r="BJ1" s="6" t="s">
        <v>185</v>
      </c>
      <c r="BK1" s="6" t="s">
        <v>186</v>
      </c>
      <c r="BL1" s="6" t="s">
        <v>187</v>
      </c>
      <c r="BM1" s="6" t="s">
        <v>188</v>
      </c>
      <c r="BN1" s="6" t="s">
        <v>189</v>
      </c>
      <c r="BO1" s="6" t="s">
        <v>190</v>
      </c>
      <c r="BP1" s="6" t="s">
        <v>191</v>
      </c>
      <c r="BQ1" s="6" t="s">
        <v>192</v>
      </c>
      <c r="BR1" s="6" t="s">
        <v>193</v>
      </c>
      <c r="BS1" s="6" t="s">
        <v>194</v>
      </c>
      <c r="BT1" s="6" t="s">
        <v>195</v>
      </c>
      <c r="BU1" s="6" t="s">
        <v>196</v>
      </c>
      <c r="BV1" s="6" t="s">
        <v>197</v>
      </c>
      <c r="BW1" s="6" t="s">
        <v>198</v>
      </c>
      <c r="BX1" s="6" t="s">
        <v>199</v>
      </c>
      <c r="BY1" s="6" t="s">
        <v>200</v>
      </c>
      <c r="BZ1" s="6" t="s">
        <v>201</v>
      </c>
      <c r="CA1" s="6" t="s">
        <v>202</v>
      </c>
      <c r="CB1" s="6" t="s">
        <v>203</v>
      </c>
      <c r="CC1" s="6" t="s">
        <v>204</v>
      </c>
      <c r="CD1" s="6" t="s">
        <v>205</v>
      </c>
      <c r="CE1" s="6" t="s">
        <v>206</v>
      </c>
      <c r="CF1" s="6" t="s">
        <v>207</v>
      </c>
      <c r="CG1" s="6" t="s">
        <v>208</v>
      </c>
      <c r="CH1" s="6" t="s">
        <v>209</v>
      </c>
      <c r="CI1" s="6" t="s">
        <v>210</v>
      </c>
      <c r="CJ1" s="6" t="s">
        <v>211</v>
      </c>
      <c r="CK1" s="6" t="s">
        <v>212</v>
      </c>
      <c r="CL1" s="6" t="s">
        <v>213</v>
      </c>
      <c r="CM1" s="6" t="s">
        <v>214</v>
      </c>
      <c r="CN1" s="6" t="s">
        <v>215</v>
      </c>
      <c r="CO1" s="6" t="s">
        <v>216</v>
      </c>
      <c r="CP1" s="6" t="s">
        <v>217</v>
      </c>
      <c r="CQ1" s="6" t="s">
        <v>218</v>
      </c>
      <c r="CR1" s="6" t="s">
        <v>219</v>
      </c>
      <c r="CS1" s="6" t="s">
        <v>220</v>
      </c>
      <c r="CT1" s="6" t="s">
        <v>221</v>
      </c>
      <c r="CU1" s="6" t="s">
        <v>222</v>
      </c>
      <c r="CV1" s="6" t="s">
        <v>223</v>
      </c>
      <c r="CW1" s="6" t="s">
        <v>224</v>
      </c>
      <c r="CX1" s="6" t="s">
        <v>225</v>
      </c>
      <c r="CY1" s="6" t="s">
        <v>226</v>
      </c>
      <c r="CZ1" s="6" t="s">
        <v>227</v>
      </c>
      <c r="DA1" s="6" t="s">
        <v>228</v>
      </c>
      <c r="DB1" s="6" t="s">
        <v>229</v>
      </c>
      <c r="DC1" s="6" t="s">
        <v>230</v>
      </c>
      <c r="DD1" s="6" t="s">
        <v>231</v>
      </c>
      <c r="DE1" s="6" t="s">
        <v>232</v>
      </c>
      <c r="DF1" s="6" t="s">
        <v>233</v>
      </c>
      <c r="DG1" s="6" t="s">
        <v>234</v>
      </c>
      <c r="DH1" s="6" t="s">
        <v>235</v>
      </c>
      <c r="DI1" s="6" t="s">
        <v>236</v>
      </c>
      <c r="DJ1" s="6" t="s">
        <v>237</v>
      </c>
      <c r="DK1" s="6" t="s">
        <v>238</v>
      </c>
      <c r="DL1" s="6" t="s">
        <v>239</v>
      </c>
      <c r="DM1" s="6" t="s">
        <v>240</v>
      </c>
      <c r="DN1" s="6" t="s">
        <v>241</v>
      </c>
      <c r="DO1" s="6" t="s">
        <v>242</v>
      </c>
      <c r="DP1" s="6" t="s">
        <v>243</v>
      </c>
      <c r="DQ1" s="6" t="s">
        <v>244</v>
      </c>
      <c r="DR1" s="6" t="s">
        <v>245</v>
      </c>
      <c r="DS1" s="6" t="s">
        <v>246</v>
      </c>
      <c r="DT1" s="6" t="s">
        <v>247</v>
      </c>
      <c r="DU1" s="6" t="s">
        <v>248</v>
      </c>
      <c r="DV1" s="6" t="s">
        <v>249</v>
      </c>
      <c r="DW1" s="6" t="s">
        <v>250</v>
      </c>
      <c r="DX1" s="6" t="s">
        <v>251</v>
      </c>
      <c r="DY1" s="6" t="s">
        <v>252</v>
      </c>
      <c r="DZ1" s="6" t="s">
        <v>253</v>
      </c>
      <c r="EA1" s="6" t="s">
        <v>254</v>
      </c>
      <c r="EB1" s="6" t="s">
        <v>255</v>
      </c>
      <c r="EC1" s="6" t="s">
        <v>256</v>
      </c>
      <c r="ED1" s="6" t="s">
        <v>257</v>
      </c>
      <c r="EE1" s="6" t="s">
        <v>258</v>
      </c>
      <c r="EF1" s="6" t="s">
        <v>259</v>
      </c>
      <c r="EG1" s="6" t="s">
        <v>260</v>
      </c>
      <c r="EH1" s="6" t="s">
        <v>261</v>
      </c>
      <c r="EI1" s="6" t="s">
        <v>262</v>
      </c>
      <c r="EJ1" s="6" t="s">
        <v>263</v>
      </c>
      <c r="EK1" s="6" t="s">
        <v>264</v>
      </c>
      <c r="EL1" s="6" t="s">
        <v>265</v>
      </c>
      <c r="EM1" s="6" t="s">
        <v>266</v>
      </c>
      <c r="EN1" s="6" t="s">
        <v>267</v>
      </c>
      <c r="EO1" s="6" t="s">
        <v>268</v>
      </c>
      <c r="EP1" s="6" t="s">
        <v>269</v>
      </c>
      <c r="EQ1" s="6" t="s">
        <v>270</v>
      </c>
      <c r="ER1" s="6" t="s">
        <v>271</v>
      </c>
      <c r="ES1" s="6" t="s">
        <v>272</v>
      </c>
      <c r="ET1" s="6" t="s">
        <v>273</v>
      </c>
      <c r="EU1" s="6" t="s">
        <v>274</v>
      </c>
      <c r="EV1" s="6" t="s">
        <v>275</v>
      </c>
      <c r="EW1" s="6" t="s">
        <v>276</v>
      </c>
      <c r="EX1" s="6" t="s">
        <v>277</v>
      </c>
      <c r="EY1" s="6" t="s">
        <v>278</v>
      </c>
      <c r="EZ1" s="6" t="s">
        <v>279</v>
      </c>
      <c r="FA1" s="6" t="s">
        <v>280</v>
      </c>
      <c r="FB1" s="6" t="s">
        <v>281</v>
      </c>
      <c r="FC1" s="6" t="s">
        <v>282</v>
      </c>
      <c r="FD1" s="6" t="s">
        <v>283</v>
      </c>
      <c r="FE1" s="6" t="s">
        <v>284</v>
      </c>
      <c r="FF1" s="6" t="s">
        <v>285</v>
      </c>
      <c r="FG1" s="6" t="s">
        <v>286</v>
      </c>
      <c r="FH1" s="6" t="s">
        <v>287</v>
      </c>
      <c r="FI1" s="6" t="s">
        <v>288</v>
      </c>
      <c r="FJ1" s="6" t="s">
        <v>289</v>
      </c>
      <c r="FK1" s="6" t="s">
        <v>290</v>
      </c>
      <c r="FL1" s="6" t="s">
        <v>291</v>
      </c>
      <c r="FM1" s="6" t="s">
        <v>292</v>
      </c>
      <c r="FN1" s="6" t="s">
        <v>293</v>
      </c>
      <c r="FO1" s="6" t="s">
        <v>294</v>
      </c>
      <c r="FP1" s="6" t="s">
        <v>295</v>
      </c>
      <c r="FQ1" s="6" t="s">
        <v>296</v>
      </c>
      <c r="FR1" s="6" t="s">
        <v>297</v>
      </c>
      <c r="FS1" s="6" t="s">
        <v>298</v>
      </c>
      <c r="FT1" s="6" t="s">
        <v>299</v>
      </c>
      <c r="FU1" s="6" t="s">
        <v>300</v>
      </c>
      <c r="FV1" s="6" t="s">
        <v>301</v>
      </c>
      <c r="FW1" s="6" t="s">
        <v>302</v>
      </c>
      <c r="FX1" s="6" t="s">
        <v>303</v>
      </c>
      <c r="FY1" s="6" t="s">
        <v>304</v>
      </c>
      <c r="FZ1" s="6" t="s">
        <v>305</v>
      </c>
      <c r="GA1" s="6" t="s">
        <v>306</v>
      </c>
      <c r="GB1" s="6" t="s">
        <v>307</v>
      </c>
      <c r="GC1" s="6" t="s">
        <v>308</v>
      </c>
      <c r="GD1" s="6" t="s">
        <v>309</v>
      </c>
      <c r="GE1" s="6" t="s">
        <v>310</v>
      </c>
      <c r="GF1" s="6" t="s">
        <v>311</v>
      </c>
      <c r="GG1" s="6" t="s">
        <v>312</v>
      </c>
      <c r="GH1" s="6" t="s">
        <v>313</v>
      </c>
      <c r="GI1" s="6" t="s">
        <v>314</v>
      </c>
      <c r="GJ1" s="6" t="s">
        <v>315</v>
      </c>
      <c r="GK1" s="6" t="s">
        <v>316</v>
      </c>
      <c r="GL1" s="6" t="s">
        <v>317</v>
      </c>
      <c r="GM1" s="6" t="s">
        <v>318</v>
      </c>
      <c r="GN1" s="6" t="s">
        <v>319</v>
      </c>
      <c r="GO1" s="6" t="s">
        <v>320</v>
      </c>
      <c r="GP1" s="6" t="s">
        <v>321</v>
      </c>
      <c r="GQ1" s="6" t="s">
        <v>322</v>
      </c>
      <c r="GR1" s="6" t="s">
        <v>323</v>
      </c>
      <c r="GS1" s="6" t="s">
        <v>324</v>
      </c>
      <c r="GT1" s="6" t="s">
        <v>325</v>
      </c>
      <c r="GU1" s="6" t="s">
        <v>326</v>
      </c>
      <c r="GV1" s="6" t="s">
        <v>327</v>
      </c>
      <c r="GW1" s="6" t="s">
        <v>328</v>
      </c>
      <c r="GX1" s="6" t="s">
        <v>329</v>
      </c>
      <c r="GY1" s="6" t="s">
        <v>330</v>
      </c>
      <c r="GZ1" s="6" t="s">
        <v>331</v>
      </c>
      <c r="HA1" s="6" t="s">
        <v>332</v>
      </c>
      <c r="HB1" s="6" t="s">
        <v>333</v>
      </c>
      <c r="HC1" s="6" t="s">
        <v>334</v>
      </c>
      <c r="HD1" s="6" t="s">
        <v>335</v>
      </c>
      <c r="HE1" s="6" t="s">
        <v>336</v>
      </c>
      <c r="HF1" s="6" t="s">
        <v>337</v>
      </c>
      <c r="HG1" s="6" t="s">
        <v>338</v>
      </c>
      <c r="HH1" s="6" t="s">
        <v>339</v>
      </c>
      <c r="HI1" s="6" t="s">
        <v>340</v>
      </c>
      <c r="HJ1" s="6" t="s">
        <v>341</v>
      </c>
      <c r="HK1" s="6" t="s">
        <v>342</v>
      </c>
      <c r="HL1" s="6" t="s">
        <v>343</v>
      </c>
      <c r="HM1" s="6" t="s">
        <v>344</v>
      </c>
      <c r="HN1" s="6" t="s">
        <v>345</v>
      </c>
      <c r="HO1" s="6" t="s">
        <v>346</v>
      </c>
      <c r="HP1" s="6" t="s">
        <v>347</v>
      </c>
      <c r="HQ1" s="6" t="s">
        <v>348</v>
      </c>
      <c r="HR1" s="6" t="s">
        <v>349</v>
      </c>
      <c r="HS1" s="6" t="s">
        <v>350</v>
      </c>
      <c r="HT1" s="6" t="s">
        <v>351</v>
      </c>
      <c r="HU1" s="6" t="s">
        <v>352</v>
      </c>
      <c r="HV1" s="6" t="s">
        <v>353</v>
      </c>
      <c r="HW1" s="6" t="s">
        <v>354</v>
      </c>
      <c r="HX1" s="6" t="s">
        <v>355</v>
      </c>
      <c r="HY1" s="6" t="s">
        <v>356</v>
      </c>
      <c r="HZ1" s="6" t="s">
        <v>357</v>
      </c>
      <c r="IA1" s="6" t="s">
        <v>358</v>
      </c>
      <c r="IB1" s="6" t="s">
        <v>359</v>
      </c>
      <c r="IC1" s="6" t="s">
        <v>360</v>
      </c>
      <c r="ID1" s="6" t="s">
        <v>361</v>
      </c>
      <c r="IE1" s="6" t="s">
        <v>362</v>
      </c>
      <c r="IF1" s="6" t="s">
        <v>363</v>
      </c>
      <c r="IG1" s="6" t="s">
        <v>364</v>
      </c>
      <c r="IH1" s="6" t="s">
        <v>365</v>
      </c>
      <c r="II1" s="6" t="s">
        <v>366</v>
      </c>
      <c r="IJ1" s="6" t="s">
        <v>367</v>
      </c>
      <c r="IK1" s="6" t="s">
        <v>368</v>
      </c>
      <c r="IL1" s="6" t="s">
        <v>369</v>
      </c>
      <c r="IM1" s="6" t="s">
        <v>370</v>
      </c>
      <c r="IN1" s="6" t="s">
        <v>371</v>
      </c>
      <c r="IO1" s="6" t="s">
        <v>372</v>
      </c>
      <c r="IP1" s="6" t="s">
        <v>373</v>
      </c>
      <c r="IQ1" s="6" t="s">
        <v>374</v>
      </c>
      <c r="IR1" s="6" t="s">
        <v>375</v>
      </c>
      <c r="IS1" s="6" t="s">
        <v>376</v>
      </c>
      <c r="IT1" s="6" t="s">
        <v>377</v>
      </c>
      <c r="IU1" s="6" t="s">
        <v>378</v>
      </c>
      <c r="IV1" s="6" t="s">
        <v>379</v>
      </c>
      <c r="IW1" s="6" t="s">
        <v>380</v>
      </c>
      <c r="IX1" s="6" t="s">
        <v>381</v>
      </c>
      <c r="IY1" s="6" t="s">
        <v>382</v>
      </c>
      <c r="IZ1" s="6" t="s">
        <v>383</v>
      </c>
      <c r="JA1" s="6" t="s">
        <v>384</v>
      </c>
      <c r="JB1" s="6" t="s">
        <v>385</v>
      </c>
      <c r="JC1" s="6" t="s">
        <v>386</v>
      </c>
      <c r="JD1" s="6" t="s">
        <v>387</v>
      </c>
      <c r="JE1" s="6" t="s">
        <v>388</v>
      </c>
      <c r="JF1" s="6" t="s">
        <v>389</v>
      </c>
      <c r="JG1" s="6" t="s">
        <v>390</v>
      </c>
      <c r="JH1" s="6" t="s">
        <v>391</v>
      </c>
      <c r="JI1" s="6" t="s">
        <v>392</v>
      </c>
      <c r="JJ1" s="6" t="s">
        <v>393</v>
      </c>
      <c r="JK1" s="6" t="s">
        <v>394</v>
      </c>
      <c r="JL1" s="6" t="s">
        <v>395</v>
      </c>
      <c r="JM1" s="6" t="s">
        <v>396</v>
      </c>
      <c r="JN1" s="6" t="s">
        <v>397</v>
      </c>
      <c r="JO1" s="6" t="s">
        <v>398</v>
      </c>
      <c r="JP1" s="6" t="s">
        <v>399</v>
      </c>
      <c r="JQ1" s="6" t="s">
        <v>400</v>
      </c>
      <c r="JR1" s="6" t="s">
        <v>401</v>
      </c>
      <c r="JS1" s="6" t="s">
        <v>402</v>
      </c>
      <c r="JT1" s="6" t="s">
        <v>403</v>
      </c>
      <c r="JU1" s="6" t="s">
        <v>404</v>
      </c>
      <c r="JV1" s="6" t="s">
        <v>405</v>
      </c>
      <c r="JW1" s="6" t="s">
        <v>406</v>
      </c>
      <c r="JX1" s="6" t="s">
        <v>407</v>
      </c>
      <c r="JY1" s="6" t="s">
        <v>408</v>
      </c>
      <c r="JZ1" s="6" t="s">
        <v>409</v>
      </c>
      <c r="KA1" s="6" t="s">
        <v>410</v>
      </c>
      <c r="KB1" s="6" t="s">
        <v>411</v>
      </c>
      <c r="KC1" s="6" t="s">
        <v>412</v>
      </c>
      <c r="KD1" s="6" t="s">
        <v>413</v>
      </c>
      <c r="KE1" s="6" t="s">
        <v>414</v>
      </c>
      <c r="KF1" s="6" t="s">
        <v>415</v>
      </c>
      <c r="KG1" s="6" t="s">
        <v>416</v>
      </c>
      <c r="KH1" s="6" t="s">
        <v>417</v>
      </c>
      <c r="KI1" s="6" t="s">
        <v>418</v>
      </c>
      <c r="KJ1" s="6" t="s">
        <v>419</v>
      </c>
      <c r="KK1" s="6" t="s">
        <v>420</v>
      </c>
      <c r="KL1" s="6" t="s">
        <v>421</v>
      </c>
      <c r="KM1" s="6" t="s">
        <v>422</v>
      </c>
      <c r="KN1" s="6" t="s">
        <v>423</v>
      </c>
      <c r="KO1" s="6" t="s">
        <v>424</v>
      </c>
      <c r="KP1" s="6" t="s">
        <v>425</v>
      </c>
      <c r="KQ1" s="6" t="s">
        <v>426</v>
      </c>
      <c r="KR1" s="6" t="s">
        <v>427</v>
      </c>
      <c r="KS1" s="6" t="s">
        <v>428</v>
      </c>
      <c r="KT1" s="6" t="s">
        <v>429</v>
      </c>
      <c r="KU1" s="6" t="s">
        <v>430</v>
      </c>
      <c r="KV1" s="6" t="s">
        <v>431</v>
      </c>
      <c r="KW1" s="6" t="s">
        <v>432</v>
      </c>
      <c r="KX1" s="6" t="s">
        <v>433</v>
      </c>
      <c r="KY1" s="6" t="s">
        <v>434</v>
      </c>
      <c r="KZ1" s="6" t="s">
        <v>435</v>
      </c>
      <c r="LA1" s="6" t="s">
        <v>436</v>
      </c>
      <c r="LB1" s="6" t="s">
        <v>437</v>
      </c>
      <c r="LC1" s="6" t="s">
        <v>438</v>
      </c>
      <c r="LD1" s="6" t="s">
        <v>439</v>
      </c>
      <c r="LE1" s="6" t="s">
        <v>440</v>
      </c>
      <c r="LF1" s="6" t="s">
        <v>441</v>
      </c>
      <c r="LG1" s="6" t="s">
        <v>442</v>
      </c>
      <c r="LH1" s="6" t="s">
        <v>443</v>
      </c>
      <c r="LI1" s="6" t="s">
        <v>444</v>
      </c>
      <c r="LJ1" s="6" t="s">
        <v>445</v>
      </c>
      <c r="LK1" s="6" t="s">
        <v>446</v>
      </c>
      <c r="LL1" s="6" t="s">
        <v>447</v>
      </c>
      <c r="LM1" s="6" t="s">
        <v>448</v>
      </c>
      <c r="LN1" s="6" t="s">
        <v>449</v>
      </c>
      <c r="LO1" s="6" t="s">
        <v>450</v>
      </c>
      <c r="LP1" s="6" t="s">
        <v>451</v>
      </c>
      <c r="LQ1" s="6" t="s">
        <v>452</v>
      </c>
      <c r="LR1" s="6" t="s">
        <v>453</v>
      </c>
      <c r="LS1" s="6" t="s">
        <v>454</v>
      </c>
      <c r="LT1" s="6" t="s">
        <v>455</v>
      </c>
      <c r="LU1" s="6" t="s">
        <v>456</v>
      </c>
      <c r="LV1" s="6" t="s">
        <v>457</v>
      </c>
      <c r="LW1" s="6" t="s">
        <v>458</v>
      </c>
      <c r="LX1" s="6" t="s">
        <v>459</v>
      </c>
      <c r="LY1" s="6" t="s">
        <v>460</v>
      </c>
      <c r="LZ1" s="6" t="s">
        <v>461</v>
      </c>
      <c r="MA1" s="6" t="s">
        <v>462</v>
      </c>
      <c r="MB1" s="6" t="s">
        <v>463</v>
      </c>
      <c r="MC1" s="6" t="s">
        <v>464</v>
      </c>
      <c r="MD1" s="6" t="s">
        <v>465</v>
      </c>
      <c r="ME1" s="6" t="s">
        <v>466</v>
      </c>
      <c r="MF1" s="6" t="s">
        <v>467</v>
      </c>
      <c r="MG1" s="6" t="s">
        <v>468</v>
      </c>
      <c r="MH1" s="6" t="s">
        <v>469</v>
      </c>
      <c r="MI1" s="6" t="s">
        <v>470</v>
      </c>
      <c r="MJ1" s="6" t="s">
        <v>471</v>
      </c>
      <c r="MK1" s="6" t="s">
        <v>472</v>
      </c>
      <c r="ML1" s="6" t="s">
        <v>473</v>
      </c>
      <c r="MM1" s="6" t="s">
        <v>474</v>
      </c>
      <c r="MN1" s="6" t="s">
        <v>475</v>
      </c>
      <c r="MO1" s="6" t="s">
        <v>476</v>
      </c>
      <c r="MP1" s="6" t="s">
        <v>477</v>
      </c>
      <c r="MQ1" s="6" t="s">
        <v>478</v>
      </c>
      <c r="MR1" s="6" t="s">
        <v>479</v>
      </c>
      <c r="MS1" s="6" t="s">
        <v>480</v>
      </c>
      <c r="MT1" s="6" t="s">
        <v>481</v>
      </c>
      <c r="MU1" s="6" t="s">
        <v>482</v>
      </c>
      <c r="MV1" s="6" t="s">
        <v>483</v>
      </c>
      <c r="MW1" s="6" t="s">
        <v>484</v>
      </c>
      <c r="MX1" s="6" t="s">
        <v>485</v>
      </c>
      <c r="MY1" s="6" t="s">
        <v>486</v>
      </c>
      <c r="MZ1" s="6" t="s">
        <v>487</v>
      </c>
      <c r="NA1" s="6" t="s">
        <v>488</v>
      </c>
      <c r="NB1" s="6" t="s">
        <v>489</v>
      </c>
      <c r="NC1" s="6" t="s">
        <v>490</v>
      </c>
      <c r="ND1" s="6" t="s">
        <v>491</v>
      </c>
      <c r="NE1" s="6" t="s">
        <v>492</v>
      </c>
      <c r="NF1" s="6" t="s">
        <v>493</v>
      </c>
      <c r="NG1" s="6" t="s">
        <v>494</v>
      </c>
      <c r="NH1" s="6" t="s">
        <v>495</v>
      </c>
      <c r="NI1" s="6" t="s">
        <v>496</v>
      </c>
      <c r="NJ1" s="6" t="s">
        <v>497</v>
      </c>
      <c r="NK1" s="6" t="s">
        <v>498</v>
      </c>
      <c r="NL1" s="6" t="s">
        <v>499</v>
      </c>
      <c r="NM1" s="6" t="s">
        <v>500</v>
      </c>
      <c r="NN1" s="6" t="s">
        <v>501</v>
      </c>
      <c r="NO1" s="6" t="s">
        <v>502</v>
      </c>
      <c r="NP1" s="6" t="s">
        <v>503</v>
      </c>
      <c r="NQ1" s="6" t="s">
        <v>504</v>
      </c>
      <c r="NR1" s="6" t="s">
        <v>505</v>
      </c>
      <c r="NS1" s="6" t="s">
        <v>506</v>
      </c>
      <c r="NT1" s="6" t="s">
        <v>507</v>
      </c>
      <c r="NU1" s="6" t="s">
        <v>508</v>
      </c>
      <c r="NV1" s="6" t="s">
        <v>509</v>
      </c>
      <c r="NW1" s="6" t="s">
        <v>510</v>
      </c>
      <c r="NX1" s="6" t="s">
        <v>511</v>
      </c>
      <c r="NY1" s="6" t="s">
        <v>512</v>
      </c>
      <c r="NZ1" s="6" t="s">
        <v>513</v>
      </c>
      <c r="OA1" s="6" t="s">
        <v>514</v>
      </c>
      <c r="OB1" s="6" t="s">
        <v>515</v>
      </c>
      <c r="OC1" s="6" t="s">
        <v>516</v>
      </c>
      <c r="OD1" s="6" t="s">
        <v>517</v>
      </c>
      <c r="OE1" s="6" t="s">
        <v>518</v>
      </c>
      <c r="OF1" s="6" t="s">
        <v>519</v>
      </c>
      <c r="OG1" s="6" t="s">
        <v>520</v>
      </c>
      <c r="OH1" s="6" t="s">
        <v>521</v>
      </c>
      <c r="OI1" s="6" t="s">
        <v>522</v>
      </c>
      <c r="OJ1" s="6" t="s">
        <v>523</v>
      </c>
      <c r="OK1" s="6" t="s">
        <v>524</v>
      </c>
      <c r="OL1" s="6" t="s">
        <v>525</v>
      </c>
      <c r="OM1" s="6" t="s">
        <v>526</v>
      </c>
      <c r="ON1" s="6" t="s">
        <v>527</v>
      </c>
      <c r="OO1" s="6" t="s">
        <v>528</v>
      </c>
      <c r="OP1" s="6" t="s">
        <v>529</v>
      </c>
      <c r="OQ1" s="6" t="s">
        <v>530</v>
      </c>
      <c r="OR1" s="6" t="s">
        <v>531</v>
      </c>
      <c r="OS1" s="6" t="s">
        <v>532</v>
      </c>
      <c r="OT1" s="6" t="s">
        <v>533</v>
      </c>
      <c r="OU1" s="6" t="s">
        <v>534</v>
      </c>
      <c r="OV1" s="6" t="s">
        <v>535</v>
      </c>
      <c r="OW1" s="6" t="s">
        <v>536</v>
      </c>
      <c r="OX1" s="6" t="s">
        <v>537</v>
      </c>
      <c r="OY1" s="6" t="s">
        <v>538</v>
      </c>
      <c r="OZ1" s="6" t="s">
        <v>539</v>
      </c>
      <c r="PA1" s="6" t="s">
        <v>540</v>
      </c>
      <c r="PB1" s="6" t="s">
        <v>541</v>
      </c>
      <c r="PC1" s="6" t="s">
        <v>542</v>
      </c>
      <c r="PD1" s="6" t="s">
        <v>543</v>
      </c>
      <c r="PE1" s="6" t="s">
        <v>544</v>
      </c>
      <c r="PF1" s="6" t="s">
        <v>545</v>
      </c>
      <c r="PG1" s="6" t="s">
        <v>546</v>
      </c>
      <c r="PH1" s="6" t="s">
        <v>547</v>
      </c>
      <c r="PI1" s="6" t="s">
        <v>548</v>
      </c>
      <c r="PJ1" s="6" t="s">
        <v>549</v>
      </c>
      <c r="PK1" s="6" t="s">
        <v>550</v>
      </c>
      <c r="PL1" s="6" t="s">
        <v>551</v>
      </c>
      <c r="PM1" s="6" t="s">
        <v>552</v>
      </c>
      <c r="PN1" s="6" t="s">
        <v>553</v>
      </c>
      <c r="PO1" s="6" t="s">
        <v>554</v>
      </c>
      <c r="PP1" s="6" t="s">
        <v>555</v>
      </c>
      <c r="PQ1" s="6" t="s">
        <v>556</v>
      </c>
      <c r="PR1" s="6" t="s">
        <v>557</v>
      </c>
      <c r="PS1" s="6" t="s">
        <v>558</v>
      </c>
      <c r="PT1" s="6" t="s">
        <v>559</v>
      </c>
      <c r="PU1" s="6" t="s">
        <v>560</v>
      </c>
      <c r="PV1" s="6" t="s">
        <v>561</v>
      </c>
      <c r="PW1" s="6" t="s">
        <v>562</v>
      </c>
      <c r="PX1" s="6" t="s">
        <v>563</v>
      </c>
      <c r="PY1" s="6" t="s">
        <v>564</v>
      </c>
      <c r="PZ1" s="6" t="s">
        <v>565</v>
      </c>
      <c r="QA1" s="6" t="s">
        <v>566</v>
      </c>
      <c r="QB1" s="6" t="s">
        <v>567</v>
      </c>
      <c r="QC1" s="6" t="s">
        <v>568</v>
      </c>
      <c r="QD1" s="6" t="s">
        <v>569</v>
      </c>
      <c r="QE1" s="6" t="s">
        <v>570</v>
      </c>
      <c r="QF1" s="6" t="s">
        <v>571</v>
      </c>
      <c r="QG1" s="6" t="s">
        <v>572</v>
      </c>
      <c r="QH1" s="6" t="s">
        <v>573</v>
      </c>
      <c r="QI1" s="6" t="s">
        <v>574</v>
      </c>
      <c r="QJ1" s="6" t="s">
        <v>575</v>
      </c>
      <c r="QK1" s="6" t="s">
        <v>576</v>
      </c>
      <c r="QL1" s="6" t="s">
        <v>577</v>
      </c>
      <c r="QM1" s="6" t="s">
        <v>578</v>
      </c>
      <c r="QN1" s="6" t="s">
        <v>579</v>
      </c>
      <c r="QO1" s="6" t="s">
        <v>580</v>
      </c>
      <c r="QP1" s="6" t="s">
        <v>581</v>
      </c>
      <c r="QQ1" s="6" t="s">
        <v>582</v>
      </c>
      <c r="QR1" s="6" t="s">
        <v>583</v>
      </c>
      <c r="QS1" s="6" t="s">
        <v>584</v>
      </c>
      <c r="QT1" s="6" t="s">
        <v>585</v>
      </c>
      <c r="QU1" s="6" t="s">
        <v>586</v>
      </c>
      <c r="QV1" s="6" t="s">
        <v>587</v>
      </c>
      <c r="QW1" s="6" t="s">
        <v>588</v>
      </c>
      <c r="QX1" s="6" t="s">
        <v>589</v>
      </c>
      <c r="QY1" s="6" t="s">
        <v>590</v>
      </c>
      <c r="QZ1" s="6" t="s">
        <v>591</v>
      </c>
      <c r="RA1" s="6" t="s">
        <v>592</v>
      </c>
      <c r="RB1" s="6" t="s">
        <v>593</v>
      </c>
      <c r="RC1" s="6" t="s">
        <v>594</v>
      </c>
      <c r="RD1" s="6" t="s">
        <v>595</v>
      </c>
      <c r="RE1" s="6" t="s">
        <v>596</v>
      </c>
      <c r="RF1" s="6" t="s">
        <v>597</v>
      </c>
      <c r="RG1" s="6" t="s">
        <v>598</v>
      </c>
      <c r="RH1" s="6" t="s">
        <v>599</v>
      </c>
      <c r="RI1" s="6" t="s">
        <v>600</v>
      </c>
      <c r="RJ1" s="6" t="s">
        <v>601</v>
      </c>
      <c r="RK1" s="6" t="s">
        <v>602</v>
      </c>
      <c r="RL1" s="6" t="s">
        <v>603</v>
      </c>
      <c r="RM1" s="6" t="s">
        <v>604</v>
      </c>
      <c r="RN1" s="6" t="s">
        <v>605</v>
      </c>
      <c r="RO1" s="6" t="s">
        <v>606</v>
      </c>
      <c r="RP1" s="6" t="s">
        <v>607</v>
      </c>
      <c r="RQ1" s="6" t="s">
        <v>608</v>
      </c>
      <c r="RR1" s="6" t="s">
        <v>609</v>
      </c>
      <c r="RS1" s="6" t="s">
        <v>610</v>
      </c>
      <c r="RT1" s="6" t="s">
        <v>611</v>
      </c>
      <c r="RU1" s="6" t="s">
        <v>612</v>
      </c>
      <c r="RV1" s="6" t="s">
        <v>613</v>
      </c>
      <c r="RW1" s="6" t="s">
        <v>614</v>
      </c>
      <c r="RX1" s="6" t="s">
        <v>615</v>
      </c>
      <c r="RY1" s="6" t="s">
        <v>616</v>
      </c>
      <c r="RZ1" s="6" t="s">
        <v>617</v>
      </c>
      <c r="SA1" s="6" t="s">
        <v>618</v>
      </c>
      <c r="SB1" s="6" t="s">
        <v>619</v>
      </c>
      <c r="SC1" s="6" t="s">
        <v>620</v>
      </c>
      <c r="SD1" s="6" t="s">
        <v>621</v>
      </c>
      <c r="SE1" s="6" t="s">
        <v>622</v>
      </c>
      <c r="SF1" s="6" t="s">
        <v>623</v>
      </c>
      <c r="SG1" s="6" t="s">
        <v>624</v>
      </c>
      <c r="SH1" s="6" t="s">
        <v>625</v>
      </c>
      <c r="SI1" s="6" t="s">
        <v>626</v>
      </c>
      <c r="SJ1" s="6" t="s">
        <v>627</v>
      </c>
      <c r="SK1" s="6" t="s">
        <v>628</v>
      </c>
      <c r="SL1" s="6" t="s">
        <v>629</v>
      </c>
      <c r="SM1" s="6" t="s">
        <v>630</v>
      </c>
      <c r="SN1" s="6" t="s">
        <v>631</v>
      </c>
      <c r="SO1" s="6" t="s">
        <v>632</v>
      </c>
      <c r="SP1" s="6" t="s">
        <v>633</v>
      </c>
      <c r="SQ1" s="6" t="s">
        <v>634</v>
      </c>
      <c r="SR1" s="6" t="s">
        <v>635</v>
      </c>
      <c r="SS1" s="6" t="s">
        <v>636</v>
      </c>
      <c r="ST1" s="6" t="s">
        <v>637</v>
      </c>
      <c r="SU1" s="6" t="s">
        <v>638</v>
      </c>
      <c r="SV1" s="6" t="s">
        <v>639</v>
      </c>
      <c r="SW1" s="6" t="s">
        <v>640</v>
      </c>
      <c r="SX1" s="6" t="s">
        <v>641</v>
      </c>
      <c r="SY1" s="6" t="s">
        <v>642</v>
      </c>
      <c r="SZ1" s="6" t="s">
        <v>643</v>
      </c>
      <c r="TA1" s="6" t="s">
        <v>644</v>
      </c>
      <c r="TB1" s="6" t="s">
        <v>645</v>
      </c>
      <c r="TC1" s="6" t="s">
        <v>646</v>
      </c>
      <c r="TD1" s="6" t="s">
        <v>647</v>
      </c>
      <c r="TE1" s="6" t="s">
        <v>648</v>
      </c>
      <c r="TF1" s="6" t="s">
        <v>649</v>
      </c>
      <c r="TG1" s="6" t="s">
        <v>650</v>
      </c>
      <c r="TH1" s="6" t="s">
        <v>651</v>
      </c>
      <c r="TI1" s="6" t="s">
        <v>652</v>
      </c>
      <c r="TJ1" s="6" t="s">
        <v>653</v>
      </c>
      <c r="TK1" s="6" t="s">
        <v>654</v>
      </c>
      <c r="TL1" s="6" t="s">
        <v>655</v>
      </c>
      <c r="TM1" s="6" t="s">
        <v>656</v>
      </c>
      <c r="TN1" s="6" t="s">
        <v>657</v>
      </c>
      <c r="TO1" s="6" t="s">
        <v>658</v>
      </c>
      <c r="TP1" s="6" t="s">
        <v>659</v>
      </c>
      <c r="TQ1" s="6" t="s">
        <v>660</v>
      </c>
    </row>
    <row r="2" spans="1:537" ht="28.8" x14ac:dyDescent="0.3">
      <c r="A2" s="14" t="s">
        <v>33</v>
      </c>
      <c r="B2" s="14" t="s">
        <v>22</v>
      </c>
      <c r="C2" s="14" t="s">
        <v>6</v>
      </c>
      <c r="D2" s="14" t="s">
        <v>31</v>
      </c>
      <c r="E2" s="14" t="s">
        <v>10</v>
      </c>
      <c r="F2" s="14" t="s">
        <v>118</v>
      </c>
      <c r="H2" s="111" t="s">
        <v>87</v>
      </c>
      <c r="I2" s="112"/>
      <c r="J2" s="112"/>
      <c r="K2" s="113"/>
      <c r="L2" s="5"/>
      <c r="M2" s="111" t="s">
        <v>666</v>
      </c>
      <c r="N2" s="112"/>
      <c r="O2" s="112"/>
      <c r="P2" s="113"/>
      <c r="Q2" s="5"/>
      <c r="R2" s="111" t="s">
        <v>667</v>
      </c>
      <c r="S2" s="112"/>
      <c r="T2" s="112"/>
      <c r="U2" s="113"/>
      <c r="AF2" s="1" t="s">
        <v>76</v>
      </c>
      <c r="AG2" s="15">
        <f>ABS((AI2-AJ2)/AI2)</f>
        <v>0.27578013026619724</v>
      </c>
      <c r="AH2" s="16">
        <f>ABS((AK2-AI2)/AI2)</f>
        <v>0.38337188326090255</v>
      </c>
      <c r="AI2" s="1">
        <f>ABS(AVERAGE($AL2:$TQ2))</f>
        <v>2.6900890660028676</v>
      </c>
      <c r="AJ2" s="6">
        <f>ABS(_xlfn.PERCENTILE.INC($AL2:$TQ2,0.05))</f>
        <v>1.9482159529529239</v>
      </c>
      <c r="AK2" s="17">
        <f>ABS(_xlfn.PERCENTILE.INC($AL2:$TQ2,0.95))</f>
        <v>3.7213935773759492</v>
      </c>
      <c r="AL2" s="1">
        <v>2.6386536428626899</v>
      </c>
      <c r="AM2" s="1">
        <v>2.7168484484747299</v>
      </c>
      <c r="AN2" s="1">
        <v>2.5951848633401098</v>
      </c>
      <c r="AO2" s="6">
        <v>2.9047661577458399</v>
      </c>
      <c r="AP2" s="6">
        <v>2.30423607090145</v>
      </c>
      <c r="AQ2" s="6">
        <v>3.7629519978313701</v>
      </c>
      <c r="AR2" s="6">
        <v>2.8869615064490302</v>
      </c>
      <c r="AS2" s="6">
        <v>3.40467524286169</v>
      </c>
      <c r="AT2" s="6">
        <v>2.0113976009638299</v>
      </c>
      <c r="AU2" s="6">
        <v>2.2996408558359498</v>
      </c>
      <c r="AV2" s="6">
        <v>4.0769901304863403</v>
      </c>
      <c r="AW2" s="6">
        <v>2.3373266030488402</v>
      </c>
      <c r="AX2" s="6">
        <v>4.2318284961363704</v>
      </c>
      <c r="AY2" s="6">
        <v>2.6940711320478101</v>
      </c>
      <c r="AZ2" s="6">
        <v>2.8237915772187101</v>
      </c>
      <c r="BA2" s="6">
        <v>3.1022169334553098</v>
      </c>
      <c r="BB2" s="6">
        <v>2.3233420430654301</v>
      </c>
      <c r="BC2" s="6">
        <v>2.8172691728503199</v>
      </c>
      <c r="BD2" s="6">
        <v>3.4022767883215299</v>
      </c>
      <c r="BE2" s="6">
        <v>2.40561408163226</v>
      </c>
      <c r="BF2" s="6">
        <v>2.4939432607562502</v>
      </c>
      <c r="BG2" s="6">
        <v>2.3867884074766001</v>
      </c>
      <c r="BH2" s="6">
        <v>2.4112822169926398</v>
      </c>
      <c r="BI2" s="6">
        <v>3.5031109910804199</v>
      </c>
      <c r="BJ2" s="6">
        <v>2.6228497304071898</v>
      </c>
      <c r="BK2" s="6">
        <v>2.7888906610422701</v>
      </c>
      <c r="BL2" s="6">
        <v>2.2710685871852698</v>
      </c>
      <c r="BM2" s="6">
        <v>2.3982864191061601</v>
      </c>
      <c r="BN2" s="6">
        <v>2.8208794510420701</v>
      </c>
      <c r="BO2" s="6">
        <v>3.4836041097571799</v>
      </c>
      <c r="BP2" s="6">
        <v>2.2250534804667699</v>
      </c>
      <c r="BQ2" s="6">
        <v>2.4365156095530298</v>
      </c>
      <c r="BR2" s="6">
        <v>2.2003907531692599</v>
      </c>
      <c r="BS2" s="6">
        <v>2.5301618396917598</v>
      </c>
      <c r="BT2" s="6">
        <v>2.6582938385244002</v>
      </c>
      <c r="BU2" s="6">
        <v>3.8729752138685001</v>
      </c>
      <c r="BV2" s="6">
        <v>3.5561448614498001</v>
      </c>
      <c r="BW2" s="6">
        <v>2.7597889682485301</v>
      </c>
      <c r="BX2" s="6">
        <v>2.8209543641457802</v>
      </c>
      <c r="BY2" s="6">
        <v>2.8023703322861802</v>
      </c>
      <c r="BZ2" s="6">
        <v>2.48073597269443</v>
      </c>
      <c r="CA2" s="6">
        <v>3.67256125305203</v>
      </c>
      <c r="CB2" s="6">
        <v>3.0589548018973298</v>
      </c>
      <c r="CC2" s="6">
        <v>3.1669885810504201</v>
      </c>
      <c r="CD2" s="6">
        <v>2.88534359741156</v>
      </c>
      <c r="CE2" s="6">
        <v>2.0125742840914902</v>
      </c>
      <c r="CF2" s="6">
        <v>1.97348512991752</v>
      </c>
      <c r="CG2" s="6">
        <v>5.31830341364447</v>
      </c>
      <c r="CH2" s="6">
        <v>3.0124846597668098</v>
      </c>
      <c r="CI2" s="6">
        <v>1.7675173545832901</v>
      </c>
      <c r="CJ2" s="6">
        <v>2.7289941006350902</v>
      </c>
      <c r="CK2" s="6">
        <v>2.76437730792005</v>
      </c>
      <c r="CL2" s="6">
        <v>1.95816864715599</v>
      </c>
      <c r="CM2" s="6">
        <v>3.5116689332489099</v>
      </c>
      <c r="CN2" s="6">
        <v>2.3153332197765302</v>
      </c>
      <c r="CO2" s="6">
        <v>2.7839221054825001</v>
      </c>
      <c r="CP2" s="6">
        <v>2.6114032714389399</v>
      </c>
      <c r="CQ2" s="6">
        <v>2.3874669742365602</v>
      </c>
      <c r="CR2" s="6">
        <v>3.37309506068239</v>
      </c>
      <c r="CS2" s="6">
        <v>2.58513311070499</v>
      </c>
      <c r="CT2" s="6">
        <v>2.4142278691917101</v>
      </c>
      <c r="CU2" s="6">
        <v>2.15190113607358</v>
      </c>
      <c r="CV2" s="6">
        <v>2.8596637407410199</v>
      </c>
      <c r="CW2" s="6">
        <v>2.72863627801717</v>
      </c>
      <c r="CX2" s="6">
        <v>1.86882856797481</v>
      </c>
      <c r="CY2" s="6">
        <v>2.1529420410162201</v>
      </c>
      <c r="CZ2" s="6">
        <v>3.4249120760307301</v>
      </c>
      <c r="DA2" s="6">
        <v>2.9342058343322202</v>
      </c>
      <c r="DB2" s="6">
        <v>2.7486336660469401</v>
      </c>
      <c r="DC2" s="6">
        <v>2.8795006503437799</v>
      </c>
      <c r="DD2" s="6">
        <v>2.5951874776989099</v>
      </c>
      <c r="DE2" s="6">
        <v>3.2116300304591601</v>
      </c>
      <c r="DF2" s="6">
        <v>2.2920764637494901</v>
      </c>
      <c r="DG2" s="6">
        <v>3.7839167263001898</v>
      </c>
      <c r="DH2" s="6">
        <v>3.7194033622654499</v>
      </c>
      <c r="DI2" s="6">
        <v>2.8859300686869598</v>
      </c>
      <c r="DJ2" s="6">
        <v>2.1558484439179102</v>
      </c>
      <c r="DK2" s="6">
        <v>2.7473815160332502</v>
      </c>
      <c r="DL2" s="6">
        <v>2.4625515955214099</v>
      </c>
      <c r="DM2" s="6">
        <v>2.8251502978363101</v>
      </c>
      <c r="DN2" s="6">
        <v>1.8369575516551899</v>
      </c>
      <c r="DO2" s="6">
        <v>2.8268056028799902</v>
      </c>
      <c r="DP2" s="6">
        <v>1.5588088661602999</v>
      </c>
      <c r="DQ2" s="6">
        <v>2.8531436456185402</v>
      </c>
      <c r="DR2" s="6">
        <v>3.1799967512273</v>
      </c>
      <c r="DS2" s="6">
        <v>2.2093101591269999</v>
      </c>
      <c r="DT2" s="6">
        <v>4.4479011101866801</v>
      </c>
      <c r="DU2" s="6">
        <v>2.72785240054885</v>
      </c>
      <c r="DV2" s="6">
        <v>3.9888922125856601</v>
      </c>
      <c r="DW2" s="6">
        <v>2.6125903612852901</v>
      </c>
      <c r="DX2" s="6">
        <v>2.2242476343705602</v>
      </c>
      <c r="DY2" s="6">
        <v>2.1036904101860898</v>
      </c>
      <c r="DZ2" s="6">
        <v>3.31712942350355</v>
      </c>
      <c r="EA2" s="6">
        <v>2.21385881890544</v>
      </c>
      <c r="EB2" s="6">
        <v>2.1272479235700201</v>
      </c>
      <c r="EC2" s="6">
        <v>2.90313874937917</v>
      </c>
      <c r="ED2" s="6">
        <v>3.56339905755482</v>
      </c>
      <c r="EE2" s="6">
        <v>3.2500468973785299</v>
      </c>
      <c r="EF2" s="6">
        <v>3.9322846431647802</v>
      </c>
      <c r="EG2" s="6">
        <v>2.0843440862692502</v>
      </c>
      <c r="EH2" s="6">
        <v>2.58582397066965</v>
      </c>
      <c r="EI2" s="6">
        <v>1.85725703566022</v>
      </c>
      <c r="EJ2" s="6">
        <v>2.4008561234308199</v>
      </c>
      <c r="EK2" s="6">
        <v>2.7454982916317898</v>
      </c>
      <c r="EL2" s="6">
        <v>2.5726894595435699</v>
      </c>
      <c r="EM2" s="6">
        <v>3.5923071058187799</v>
      </c>
      <c r="EN2" s="6">
        <v>2.1725879440894</v>
      </c>
      <c r="EO2" s="6">
        <v>2.7885342574358098</v>
      </c>
      <c r="EP2" s="6">
        <v>2.9011950645860201</v>
      </c>
      <c r="EQ2" s="6">
        <v>3.0538788437234201</v>
      </c>
      <c r="ER2" s="6">
        <v>2.5178584709260101</v>
      </c>
      <c r="ES2" s="6">
        <v>2.1483583386280598</v>
      </c>
      <c r="ET2" s="6">
        <v>2.4613263597967201</v>
      </c>
      <c r="EU2" s="6">
        <v>3.5524266799418802</v>
      </c>
      <c r="EV2" s="6">
        <v>2.01603024296241</v>
      </c>
      <c r="EW2" s="6">
        <v>2.0910436849213898</v>
      </c>
      <c r="EX2" s="6">
        <v>2.90264305464826</v>
      </c>
      <c r="EY2" s="6">
        <v>2.1593580132893302</v>
      </c>
      <c r="EZ2" s="6">
        <v>1.9676811627487201</v>
      </c>
      <c r="FA2" s="6">
        <v>2.0189669045707199</v>
      </c>
      <c r="FB2" s="6">
        <v>2.2411068908582901</v>
      </c>
      <c r="FC2" s="6">
        <v>2.77451668176084</v>
      </c>
      <c r="FD2" s="6">
        <v>3.13706055076893</v>
      </c>
      <c r="FE2" s="6">
        <v>2.5071013858480899</v>
      </c>
      <c r="FF2" s="6">
        <v>3.0041848121949699</v>
      </c>
      <c r="FG2" s="6">
        <v>2.3168882970969902</v>
      </c>
      <c r="FH2" s="6">
        <v>2.1761375496954698</v>
      </c>
      <c r="FI2" s="6">
        <v>2.27494882045074</v>
      </c>
      <c r="FJ2" s="6">
        <v>2.1482939981161802</v>
      </c>
      <c r="FK2" s="6">
        <v>2.0119036633980998</v>
      </c>
      <c r="FL2" s="6">
        <v>1.7480876618852701</v>
      </c>
      <c r="FM2" s="6">
        <v>2.8851197729770499</v>
      </c>
      <c r="FN2" s="6">
        <v>2.7266309089638301</v>
      </c>
      <c r="FO2" s="6">
        <v>2.1984980970572798</v>
      </c>
      <c r="FP2" s="6">
        <v>2.63546634270944</v>
      </c>
      <c r="FQ2" s="6">
        <v>2.8896159395992802</v>
      </c>
      <c r="FR2" s="6">
        <v>2.6608202275737902</v>
      </c>
      <c r="FS2" s="6">
        <v>2.5582841027363101</v>
      </c>
      <c r="FT2" s="6">
        <v>2.7546212938704402</v>
      </c>
      <c r="FU2" s="6">
        <v>2.9440948701897698</v>
      </c>
      <c r="FV2" s="6">
        <v>1.87533320401882</v>
      </c>
      <c r="FW2" s="6">
        <v>3.60673807234582</v>
      </c>
      <c r="FX2" s="6">
        <v>3.4243661114120001</v>
      </c>
      <c r="FY2" s="6">
        <v>4.0509868582248396</v>
      </c>
      <c r="FZ2" s="6">
        <v>2.6232154512149002</v>
      </c>
      <c r="GA2" s="6">
        <v>2.9587723783801501</v>
      </c>
      <c r="GB2" s="6">
        <v>3.92135869294831</v>
      </c>
      <c r="GC2" s="6">
        <v>2.2400070323747401</v>
      </c>
      <c r="GD2" s="6">
        <v>3.0848441482215798</v>
      </c>
      <c r="GE2" s="6">
        <v>3.1281369162251398</v>
      </c>
      <c r="GF2" s="6">
        <v>2.3861586344534</v>
      </c>
      <c r="GG2" s="6">
        <v>2.08541113271112</v>
      </c>
      <c r="GH2" s="6">
        <v>2.2761522030446502</v>
      </c>
      <c r="GI2" s="6">
        <v>1.64420647166192</v>
      </c>
      <c r="GJ2" s="6">
        <v>2.9437072022364998</v>
      </c>
      <c r="GK2" s="6">
        <v>2.87240569662386</v>
      </c>
      <c r="GL2" s="6">
        <v>2.98013108815032</v>
      </c>
      <c r="GM2" s="6">
        <v>2.5806473358850002</v>
      </c>
      <c r="GN2" s="6">
        <v>2.6890407824956299</v>
      </c>
      <c r="GO2" s="6">
        <v>1.9976116511091599</v>
      </c>
      <c r="GP2" s="6">
        <v>3.08877450855976</v>
      </c>
      <c r="GQ2" s="6">
        <v>4.0410710402490704</v>
      </c>
      <c r="GR2" s="6">
        <v>2.5287701817526602</v>
      </c>
      <c r="GS2" s="6">
        <v>2.4687258406656998</v>
      </c>
      <c r="GT2" s="6">
        <v>2.0146614800095</v>
      </c>
      <c r="GU2" s="6">
        <v>2.0748900880056298</v>
      </c>
      <c r="GV2" s="6">
        <v>2.91216049431371</v>
      </c>
      <c r="GW2" s="6">
        <v>2.4220915754975998</v>
      </c>
      <c r="GX2" s="6">
        <v>2.2717246289366302</v>
      </c>
      <c r="GY2" s="6">
        <v>1.6789307180406099</v>
      </c>
      <c r="GZ2" s="6">
        <v>2.7139110806320801</v>
      </c>
      <c r="HA2" s="6">
        <v>2.5485462864921402</v>
      </c>
      <c r="HB2" s="6">
        <v>2.31119692822617</v>
      </c>
      <c r="HC2" s="6">
        <v>2.6147841317098099</v>
      </c>
      <c r="HD2" s="6">
        <v>3.4862729121371001</v>
      </c>
      <c r="HE2" s="6">
        <v>2.1407462831244999</v>
      </c>
      <c r="HF2" s="6">
        <v>2.2594115974693998</v>
      </c>
      <c r="HG2" s="6">
        <v>2.09847983968884</v>
      </c>
      <c r="HH2" s="6">
        <v>2.5719904989492099</v>
      </c>
      <c r="HI2" s="6">
        <v>2.8587933029639898</v>
      </c>
      <c r="HJ2" s="6">
        <v>2.4479269289938701</v>
      </c>
      <c r="HK2" s="6">
        <v>3.4125430766254699</v>
      </c>
      <c r="HL2" s="6">
        <v>2.0793764836048099</v>
      </c>
      <c r="HM2" s="6">
        <v>-0.91369882622209597</v>
      </c>
      <c r="HN2" s="6">
        <v>3.0209933811207299</v>
      </c>
      <c r="HO2" s="6">
        <v>1.63829546252179</v>
      </c>
      <c r="HP2" s="6">
        <v>2.4245004242427899</v>
      </c>
      <c r="HQ2" s="6">
        <v>4.22634795588902</v>
      </c>
      <c r="HR2" s="6">
        <v>2.1055127724291101</v>
      </c>
      <c r="HS2" s="6">
        <v>2.56067825362046</v>
      </c>
      <c r="HT2" s="6">
        <v>2.7007002572569898</v>
      </c>
      <c r="HU2" s="6">
        <v>2.54573025691466</v>
      </c>
      <c r="HV2" s="6">
        <v>2.1486603682570999</v>
      </c>
      <c r="HW2" s="6">
        <v>2.0702104393060399</v>
      </c>
      <c r="HX2" s="6">
        <v>1.9492942463162399</v>
      </c>
      <c r="HY2" s="6">
        <v>3.3285001525956401</v>
      </c>
      <c r="HZ2" s="6">
        <v>3.0392801702330199</v>
      </c>
      <c r="IA2" s="6">
        <v>3.0169431424466899</v>
      </c>
      <c r="IB2" s="6">
        <v>2.2224565832306502</v>
      </c>
      <c r="IC2" s="6">
        <v>2.6610212876994401</v>
      </c>
      <c r="ID2" s="6">
        <v>2.1127698840651199</v>
      </c>
      <c r="IE2" s="6">
        <v>2.37389230875021</v>
      </c>
      <c r="IF2" s="6">
        <v>3.1653851206235299</v>
      </c>
      <c r="IG2" s="6">
        <v>2.9140548153202301</v>
      </c>
      <c r="IH2" s="6">
        <v>2.0472958751807799</v>
      </c>
      <c r="II2" s="6">
        <v>1.7853291677616701</v>
      </c>
      <c r="IJ2" s="6">
        <v>2.5627407310900301</v>
      </c>
      <c r="IK2" s="6">
        <v>2.6146000075496398</v>
      </c>
      <c r="IL2" s="6">
        <v>2.33080182241084</v>
      </c>
      <c r="IM2" s="6">
        <v>3.7592076644754702</v>
      </c>
      <c r="IN2" s="6">
        <v>3.4396417871775502</v>
      </c>
      <c r="IO2" s="6">
        <v>2.5752581433421602</v>
      </c>
      <c r="IP2" s="6">
        <v>3.1975267422263598</v>
      </c>
      <c r="IQ2" s="6">
        <v>2.5073514195767501</v>
      </c>
      <c r="IR2" s="6">
        <v>2.69106112381778</v>
      </c>
      <c r="IS2" s="6">
        <v>4.10551468018999</v>
      </c>
      <c r="IT2" s="6">
        <v>2.04097495747896</v>
      </c>
      <c r="IU2" s="6">
        <v>3.5854273278171598</v>
      </c>
      <c r="IV2" s="6">
        <v>3.2556116256088501</v>
      </c>
      <c r="IW2" s="6">
        <v>2.7407912261681999</v>
      </c>
      <c r="IX2" s="6">
        <v>2.24930859730115</v>
      </c>
      <c r="IY2" s="6">
        <v>4.1558073389388497</v>
      </c>
      <c r="IZ2" s="6">
        <v>2.2804827273460799</v>
      </c>
      <c r="JA2" s="6">
        <v>3.0522870699939402</v>
      </c>
      <c r="JB2" s="6">
        <v>2.3782907313315902</v>
      </c>
      <c r="JC2" s="6">
        <v>2.58074326175133</v>
      </c>
      <c r="JD2" s="6">
        <v>2.4086638536507898</v>
      </c>
      <c r="JE2" s="6">
        <v>2.0543892882382799</v>
      </c>
      <c r="JF2" s="6">
        <v>2.8930925396419802</v>
      </c>
      <c r="JG2" s="6">
        <v>3.3255303349913001</v>
      </c>
      <c r="JH2" s="6">
        <v>3.4502829733846898</v>
      </c>
      <c r="JI2" s="6">
        <v>2.9918292526411401</v>
      </c>
      <c r="JJ2" s="6">
        <v>2.4092350158698599</v>
      </c>
      <c r="JK2" s="6">
        <v>2.1404116937572</v>
      </c>
      <c r="JL2" s="6">
        <v>2.22800171690885</v>
      </c>
      <c r="JM2" s="6">
        <v>2.5333192890502101</v>
      </c>
      <c r="JN2" s="6">
        <v>2.8333579086257101</v>
      </c>
      <c r="JO2" s="6">
        <v>3.7138757554934201</v>
      </c>
      <c r="JP2" s="6">
        <v>2.28746415187813</v>
      </c>
      <c r="JQ2" s="6">
        <v>3.3640838367630601</v>
      </c>
      <c r="JR2" s="6">
        <v>2.5748515959582199</v>
      </c>
      <c r="JS2" s="6">
        <v>3.1404746962267298</v>
      </c>
      <c r="JT2" s="6">
        <v>2.4542777892507699</v>
      </c>
      <c r="JU2" s="6">
        <v>1.9952313605440699</v>
      </c>
      <c r="JV2" s="6">
        <v>2.1959187795497801</v>
      </c>
      <c r="JW2" s="6">
        <v>3.5260867496194699</v>
      </c>
      <c r="JX2" s="6">
        <v>2.3282329305503602</v>
      </c>
      <c r="JY2" s="6">
        <v>2.9187223600788799</v>
      </c>
      <c r="JZ2" s="6">
        <v>3.3390801957413001</v>
      </c>
      <c r="KA2" s="6">
        <v>2.3966089443266898</v>
      </c>
      <c r="KB2" s="6">
        <v>2.44807210214555</v>
      </c>
      <c r="KC2" s="6">
        <v>3.9400650120838199</v>
      </c>
      <c r="KD2" s="6">
        <v>2.8658951258098502</v>
      </c>
      <c r="KE2" s="6">
        <v>2.83576637347449</v>
      </c>
      <c r="KF2" s="6">
        <v>3.05912678384697</v>
      </c>
      <c r="KG2" s="6">
        <v>1.67931492207823</v>
      </c>
      <c r="KH2" s="6">
        <v>2.0014600597691898</v>
      </c>
      <c r="KI2" s="6">
        <v>2.7444589724566599</v>
      </c>
      <c r="KJ2" s="6">
        <v>2.4251030275319199</v>
      </c>
      <c r="KK2" s="6">
        <v>2.0842772526699802</v>
      </c>
      <c r="KL2" s="6">
        <v>2.09707859758488</v>
      </c>
      <c r="KM2" s="6">
        <v>2.0344571982347901</v>
      </c>
      <c r="KN2" s="6">
        <v>2.91679511712552</v>
      </c>
      <c r="KO2" s="6">
        <v>2.52808178951704</v>
      </c>
      <c r="KP2" s="6">
        <v>2.8710296210971</v>
      </c>
      <c r="KQ2" s="6">
        <v>2.1940591653802199</v>
      </c>
      <c r="KR2" s="6">
        <v>3.3687435502058598</v>
      </c>
      <c r="KS2" s="6">
        <v>1.9146654871461899</v>
      </c>
      <c r="KT2" s="6">
        <v>2.4884143405305701</v>
      </c>
      <c r="KU2" s="6">
        <v>2.0654593816133699</v>
      </c>
      <c r="KV2" s="6">
        <v>3.0128243225550699</v>
      </c>
      <c r="KW2" s="6">
        <v>3.21232781366716</v>
      </c>
      <c r="KX2" s="6">
        <v>2.33912533956397</v>
      </c>
      <c r="KY2" s="6">
        <v>2.5641837548560602</v>
      </c>
      <c r="KZ2" s="6">
        <v>2.09138855198908</v>
      </c>
      <c r="LA2" s="6">
        <v>2.6585919828882498</v>
      </c>
      <c r="LB2" s="6">
        <v>2.9160573678950898</v>
      </c>
      <c r="LC2" s="6">
        <v>2.6564858124021402</v>
      </c>
      <c r="LD2" s="6">
        <v>2.58234489889684</v>
      </c>
      <c r="LE2" s="6">
        <v>1.83613931341382</v>
      </c>
      <c r="LF2" s="6">
        <v>2.50555139787551</v>
      </c>
      <c r="LG2" s="6">
        <v>2.27377033126582</v>
      </c>
      <c r="LH2" s="6">
        <v>4.9637307732761498</v>
      </c>
      <c r="LI2" s="6">
        <v>3.0178695652941201</v>
      </c>
      <c r="LJ2" s="6">
        <v>3.1995123438967101</v>
      </c>
      <c r="LK2" s="6">
        <v>3.3084718585067798</v>
      </c>
      <c r="LL2" s="6">
        <v>2.6244245130318999</v>
      </c>
      <c r="LM2" s="6">
        <v>3.25607418317301</v>
      </c>
      <c r="LN2" s="6">
        <v>2.6432443457424699</v>
      </c>
      <c r="LO2" s="6">
        <v>2.4946406138712902</v>
      </c>
      <c r="LP2" s="6">
        <v>2.5742651557188898</v>
      </c>
      <c r="LQ2" s="6">
        <v>2.2032973302671599</v>
      </c>
      <c r="LR2" s="6">
        <v>1.92772837904992</v>
      </c>
      <c r="LS2" s="6">
        <v>2.6336264531792501</v>
      </c>
      <c r="LT2" s="6">
        <v>3.0063705273029502</v>
      </c>
      <c r="LU2" s="6">
        <v>2.6997969749784199</v>
      </c>
      <c r="LV2" s="6">
        <v>2.3997859098202801</v>
      </c>
      <c r="LW2" s="6">
        <v>2.6607288831782898</v>
      </c>
      <c r="LX2" s="6">
        <v>2.4146430714170601</v>
      </c>
      <c r="LY2" s="6">
        <v>2.4367612777229901</v>
      </c>
      <c r="LZ2" s="6">
        <v>2.7727625073811599</v>
      </c>
      <c r="MA2" s="6">
        <v>3.40862585140838</v>
      </c>
      <c r="MB2" s="6">
        <v>3.0498170279411099</v>
      </c>
      <c r="MC2" s="6">
        <v>2.75672765542858</v>
      </c>
      <c r="MD2" s="6">
        <v>2.38893262004542</v>
      </c>
      <c r="ME2" s="6">
        <v>2.4001117327619101</v>
      </c>
      <c r="MF2" s="6">
        <v>2.3778798586906098</v>
      </c>
      <c r="MG2" s="6">
        <v>2.2741618970417501</v>
      </c>
      <c r="MH2" s="6">
        <v>2.6332709028964598</v>
      </c>
      <c r="MI2" s="6">
        <v>2.7738710244788498</v>
      </c>
      <c r="MJ2" s="6">
        <v>2.76931801967112</v>
      </c>
      <c r="MK2" s="6">
        <v>2.0205906692897102</v>
      </c>
      <c r="ML2" s="6">
        <v>2.5051627354309698</v>
      </c>
      <c r="MM2" s="6">
        <v>2.1934891160584198</v>
      </c>
      <c r="MN2" s="6">
        <v>3.9606677870728602</v>
      </c>
      <c r="MO2" s="6">
        <v>2.5101225031979899</v>
      </c>
      <c r="MP2" s="6">
        <v>2.8430541979671999</v>
      </c>
      <c r="MQ2" s="6">
        <v>3.30171771771233</v>
      </c>
      <c r="MR2" s="6">
        <v>2.5306974220629099</v>
      </c>
      <c r="MS2" s="6">
        <v>2.3348947323266098</v>
      </c>
      <c r="MT2" s="6">
        <v>2.6338185975711501</v>
      </c>
      <c r="MU2" s="6">
        <v>2.7050911868710701</v>
      </c>
      <c r="MV2" s="6">
        <v>2.3931038725041298</v>
      </c>
      <c r="MW2" s="6">
        <v>2.54861562834822</v>
      </c>
      <c r="MX2" s="6">
        <v>2.23230103169311</v>
      </c>
      <c r="MY2" s="6">
        <v>1.6692952885794199</v>
      </c>
      <c r="MZ2" s="6">
        <v>3.1247715757496599</v>
      </c>
      <c r="NA2" s="6">
        <v>3.2050649727098701</v>
      </c>
      <c r="NB2" s="6">
        <v>2.4294104936926</v>
      </c>
      <c r="NC2" s="6">
        <v>3.11351674899247</v>
      </c>
      <c r="ND2" s="6">
        <v>3.4753353714204298</v>
      </c>
      <c r="NE2" s="6">
        <v>2.8712601017065098</v>
      </c>
      <c r="NF2" s="6">
        <v>2.7158520183836901</v>
      </c>
      <c r="NG2" s="6">
        <v>3.59444114029729</v>
      </c>
      <c r="NH2" s="6">
        <v>2.5052639237866798</v>
      </c>
      <c r="NI2" s="6">
        <v>2.66970898961296</v>
      </c>
      <c r="NJ2" s="6">
        <v>1.9613845688281599</v>
      </c>
      <c r="NK2" s="6">
        <v>3.8603793013955099</v>
      </c>
      <c r="NL2" s="6">
        <v>3.5576254930541902</v>
      </c>
      <c r="NM2" s="6">
        <v>2.95853452598694</v>
      </c>
      <c r="NN2" s="6">
        <v>2.5743476727704899</v>
      </c>
      <c r="NO2" s="6">
        <v>2.22219357901304</v>
      </c>
      <c r="NP2" s="6">
        <v>3.1681909254868401</v>
      </c>
      <c r="NQ2" s="6">
        <v>2.4557541894575898</v>
      </c>
      <c r="NR2" s="6">
        <v>2.7728607997135</v>
      </c>
      <c r="NS2" s="6">
        <v>1.95994004776721</v>
      </c>
      <c r="NT2" s="6">
        <v>2.9695145919703201</v>
      </c>
      <c r="NU2" s="6">
        <v>2.2416446234007701</v>
      </c>
      <c r="NV2" s="6">
        <v>2.7697896780014299</v>
      </c>
      <c r="NW2" s="6">
        <v>2.29263380909003</v>
      </c>
      <c r="NX2" s="6">
        <v>2.76445752248654</v>
      </c>
      <c r="NY2" s="6">
        <v>3.1344318394569299</v>
      </c>
      <c r="NZ2" s="6">
        <v>2.92247135333499</v>
      </c>
      <c r="OA2" s="6">
        <v>3.6130525847480999</v>
      </c>
      <c r="OB2" s="6">
        <v>3.4389032022734001</v>
      </c>
      <c r="OC2" s="6">
        <v>2.9366455909574598</v>
      </c>
      <c r="OD2" s="6">
        <v>2.8315760272395698</v>
      </c>
      <c r="OE2" s="6">
        <v>3.8717957660589701</v>
      </c>
      <c r="OF2" s="6">
        <v>1.9002613753370301</v>
      </c>
      <c r="OG2" s="6">
        <v>3.21978914860841</v>
      </c>
      <c r="OH2" s="6">
        <v>2.6400279309329999</v>
      </c>
      <c r="OI2" s="6">
        <v>2.2688802497908398</v>
      </c>
      <c r="OJ2" s="6">
        <v>3.0081139093879701</v>
      </c>
      <c r="OK2" s="6">
        <v>2.0292273821159501</v>
      </c>
      <c r="OL2" s="6">
        <v>2.6543344934856399</v>
      </c>
      <c r="OM2" s="6">
        <v>2.6374651170195502</v>
      </c>
      <c r="ON2" s="6">
        <v>3.57637937535491</v>
      </c>
      <c r="OO2" s="6">
        <v>1.80094510231196</v>
      </c>
      <c r="OP2" s="6">
        <v>2.6864198134168902</v>
      </c>
      <c r="OQ2" s="6">
        <v>2.8065569784896001</v>
      </c>
      <c r="OR2" s="6">
        <v>1.8847503673705499</v>
      </c>
      <c r="OS2" s="6">
        <v>3.3297592815518899</v>
      </c>
      <c r="OT2" s="6">
        <v>2.2620771965562798</v>
      </c>
      <c r="OU2" s="6">
        <v>3.4447288272769301</v>
      </c>
      <c r="OV2" s="6">
        <v>2.0294333732686001</v>
      </c>
      <c r="OW2" s="6">
        <v>2.0452359963922699</v>
      </c>
      <c r="OX2" s="6">
        <v>2.8922576856543398</v>
      </c>
      <c r="OY2" s="6">
        <v>2.5814880342656501</v>
      </c>
      <c r="OZ2" s="6">
        <v>2.8051677474757701</v>
      </c>
      <c r="PA2" s="6">
        <v>2.2770593458624102</v>
      </c>
      <c r="PB2" s="6">
        <v>2.51229076760875</v>
      </c>
      <c r="PC2" s="6">
        <v>2.9216919272894102</v>
      </c>
      <c r="PD2" s="6">
        <v>2.77041298372969</v>
      </c>
      <c r="PE2" s="6">
        <v>3.40939315428838</v>
      </c>
      <c r="PF2" s="6">
        <v>1.9955735590575701</v>
      </c>
      <c r="PG2" s="6">
        <v>2.0685721594960298</v>
      </c>
      <c r="PH2" s="6">
        <v>3.4322006835042398</v>
      </c>
      <c r="PI2" s="6">
        <v>2.0435770712669798</v>
      </c>
      <c r="PJ2" s="6">
        <v>3.13371194373428</v>
      </c>
      <c r="PK2" s="6">
        <v>1.7280385887259799</v>
      </c>
      <c r="PL2" s="6">
        <v>2.8471766054877401</v>
      </c>
      <c r="PM2" s="6">
        <v>2.7754143034779299</v>
      </c>
      <c r="PN2" s="6">
        <v>2.9726175451513401</v>
      </c>
      <c r="PO2" s="6">
        <v>2.4535821450784798</v>
      </c>
      <c r="PP2" s="6">
        <v>2.23299496479174</v>
      </c>
      <c r="PQ2" s="6">
        <v>2.2855727416881702</v>
      </c>
      <c r="PR2" s="6">
        <v>1.42459841749935</v>
      </c>
      <c r="PS2" s="6">
        <v>2.7529276021087798</v>
      </c>
      <c r="PT2" s="6">
        <v>2.2353433192557501</v>
      </c>
      <c r="PU2" s="6">
        <v>2.7566672525324001</v>
      </c>
      <c r="PV2" s="6">
        <v>2.56217884513371</v>
      </c>
      <c r="PW2" s="6">
        <v>2.6021240214357002</v>
      </c>
      <c r="PX2" s="6">
        <v>2.1564837680432598</v>
      </c>
      <c r="PY2" s="6">
        <v>2.0774960663732598</v>
      </c>
      <c r="PZ2" s="6">
        <v>2.2079136497448801</v>
      </c>
      <c r="QA2" s="6">
        <v>1.96393606078592</v>
      </c>
      <c r="QB2" s="6">
        <v>1.8372064445053899</v>
      </c>
      <c r="QC2" s="6">
        <v>3.0651211480490299</v>
      </c>
      <c r="QD2" s="6">
        <v>2.53044265173425</v>
      </c>
      <c r="QE2" s="6">
        <v>2.5299740895368399</v>
      </c>
      <c r="QF2" s="6">
        <v>2.4882454516959198</v>
      </c>
      <c r="QG2" s="6">
        <v>3.2024322923147701</v>
      </c>
      <c r="QH2" s="6">
        <v>2.8329812042347</v>
      </c>
      <c r="QI2" s="6">
        <v>1.90399332766986</v>
      </c>
      <c r="QJ2" s="6">
        <v>3.2769259949762799</v>
      </c>
      <c r="QK2" s="6">
        <v>2.8389932632729602</v>
      </c>
      <c r="QL2" s="6">
        <v>2.9624506886183202</v>
      </c>
      <c r="QM2" s="6">
        <v>2.03850973572801</v>
      </c>
      <c r="QN2" s="6">
        <v>2.2346718220854802</v>
      </c>
      <c r="QO2" s="6">
        <v>3.3222498746548399</v>
      </c>
      <c r="QP2" s="6">
        <v>2.3377616008916502</v>
      </c>
      <c r="QQ2" s="6">
        <v>2.4859963457290899</v>
      </c>
      <c r="QR2" s="6">
        <v>2.8482120262248598</v>
      </c>
      <c r="QS2" s="6">
        <v>2.6126019587782299</v>
      </c>
      <c r="QT2" s="6">
        <v>2.0054484710701899</v>
      </c>
      <c r="QU2" s="6">
        <v>3.3552947792303902</v>
      </c>
      <c r="QV2" s="6">
        <v>5.4479305103733404</v>
      </c>
      <c r="QW2" s="6">
        <v>2.5741778271001001</v>
      </c>
      <c r="QX2" s="6">
        <v>2.3792050767442898</v>
      </c>
      <c r="QY2" s="6">
        <v>2.10099416140031</v>
      </c>
      <c r="QZ2" s="6">
        <v>4.3243640020684602</v>
      </c>
      <c r="RA2" s="6">
        <v>3.00965412410795</v>
      </c>
      <c r="RB2" s="6">
        <v>3.0921860181652598</v>
      </c>
      <c r="RC2" s="6">
        <v>2.5265320992357898</v>
      </c>
      <c r="RD2" s="6">
        <v>2.3200113414070902</v>
      </c>
      <c r="RE2" s="6">
        <v>2.3002339185549898</v>
      </c>
      <c r="RF2" s="6">
        <v>2.4635511331173801</v>
      </c>
      <c r="RG2" s="6">
        <v>2.0041549644010201</v>
      </c>
      <c r="RH2" s="6">
        <v>2.49125356614435</v>
      </c>
      <c r="RI2" s="6">
        <v>3.1064501141675001</v>
      </c>
      <c r="RJ2" s="6">
        <v>2.76025026514453</v>
      </c>
      <c r="RK2" s="6">
        <v>2.57753332037296</v>
      </c>
      <c r="RL2" s="6">
        <v>2.79756862261925</v>
      </c>
      <c r="RM2" s="6">
        <v>2.9793641310974301</v>
      </c>
      <c r="RN2" s="6">
        <v>2.3952241822174298</v>
      </c>
      <c r="RO2" s="6">
        <v>2.0512557531121698</v>
      </c>
      <c r="RP2" s="6">
        <v>2.5020597660136001</v>
      </c>
      <c r="RQ2" s="6">
        <v>2.1500849593589102</v>
      </c>
      <c r="RR2" s="6">
        <v>3.1278306186587002</v>
      </c>
      <c r="RS2" s="6">
        <v>2.74236596286597</v>
      </c>
      <c r="RT2" s="6">
        <v>1.8397189288887501</v>
      </c>
      <c r="RU2" s="6">
        <v>2.7504339883801201</v>
      </c>
      <c r="RV2" s="6">
        <v>2.6487397951760498</v>
      </c>
      <c r="RW2" s="6">
        <v>3.5022005702010901</v>
      </c>
      <c r="RX2" s="6">
        <v>3.16866716900231</v>
      </c>
      <c r="RY2" s="6">
        <v>3.36990896083682</v>
      </c>
      <c r="RZ2" s="6">
        <v>2.2620940932121898</v>
      </c>
      <c r="SA2" s="6">
        <v>2.3582198079921399</v>
      </c>
      <c r="SB2" s="6">
        <v>3.4371464001036802</v>
      </c>
      <c r="SC2" s="6">
        <v>2.2212213274318602</v>
      </c>
      <c r="SD2" s="6">
        <v>2.37674303155499</v>
      </c>
      <c r="SE2" s="6">
        <v>2.48461571271186</v>
      </c>
      <c r="SF2" s="6">
        <v>3.3122203900615501</v>
      </c>
      <c r="SG2" s="6">
        <v>2.5310674240515598</v>
      </c>
      <c r="SH2" s="6">
        <v>2.4274475034787</v>
      </c>
      <c r="SI2" s="6">
        <v>2.1153457545965799</v>
      </c>
      <c r="SJ2" s="6">
        <v>2.2678526813561999</v>
      </c>
      <c r="SK2" s="6">
        <v>2.92576004180142</v>
      </c>
      <c r="SL2" s="6">
        <v>3.6688574308174902</v>
      </c>
      <c r="SM2" s="6">
        <v>2.4797568278649398</v>
      </c>
      <c r="SN2" s="6">
        <v>2.0212141089542501</v>
      </c>
      <c r="SO2" s="6">
        <v>2.62802335343024</v>
      </c>
      <c r="SP2" s="6">
        <v>3.1259512605253801</v>
      </c>
      <c r="SQ2" s="6">
        <v>2.6594446349699998</v>
      </c>
      <c r="SR2" s="6">
        <v>4.2285978225912704</v>
      </c>
      <c r="SS2" s="6">
        <v>2.9313752025247499</v>
      </c>
      <c r="ST2" s="6">
        <v>2.6200094543122101</v>
      </c>
      <c r="SU2" s="6">
        <v>3.1564027227883602</v>
      </c>
      <c r="SV2" s="6">
        <v>2.8624825577856501</v>
      </c>
      <c r="SW2" s="6">
        <v>2.1598809029420201</v>
      </c>
      <c r="SX2" s="6">
        <v>3.1651074362134901</v>
      </c>
      <c r="SY2" s="6">
        <v>3.0777084775987702</v>
      </c>
      <c r="SZ2" s="6">
        <v>3.2562821014177401</v>
      </c>
      <c r="TA2" s="6">
        <v>2.4646965904390101</v>
      </c>
      <c r="TB2" s="6">
        <v>2.3987630926779699</v>
      </c>
      <c r="TC2" s="6">
        <v>2.2608301984374601</v>
      </c>
      <c r="TD2" s="6">
        <v>2.5762417115925098</v>
      </c>
      <c r="TE2" s="6">
        <v>2.19031288368787</v>
      </c>
      <c r="TF2" s="6">
        <v>3.06802373933622</v>
      </c>
      <c r="TG2" s="6">
        <v>2.8047802927636498</v>
      </c>
      <c r="TH2" s="6">
        <v>3.1317646808131498</v>
      </c>
      <c r="TI2" s="6">
        <v>3.8056166111895502</v>
      </c>
      <c r="TJ2" s="6">
        <v>2.4550408728690898</v>
      </c>
      <c r="TK2" s="6">
        <v>2.50161834237479</v>
      </c>
      <c r="TL2" s="6">
        <v>2.4576156695486899</v>
      </c>
      <c r="TM2" s="6">
        <v>2.9996962018398801</v>
      </c>
      <c r="TN2" s="6">
        <v>3.2528805905578899</v>
      </c>
      <c r="TO2" s="6">
        <v>2.6187129691152098</v>
      </c>
      <c r="TP2" s="6">
        <v>2.39602997332203</v>
      </c>
      <c r="TQ2" s="6">
        <v>2.7164689623369198</v>
      </c>
    </row>
    <row r="3" spans="1:537" ht="14.55" customHeight="1" x14ac:dyDescent="0.3">
      <c r="A3" s="14" t="str">
        <f>$H$2</f>
        <v>Ecoinvent 3.9.1  'cobalt sulfate production' (kilogram, CN, None)</v>
      </c>
      <c r="B3" s="18">
        <f>$K$21</f>
        <v>19.133128388399999</v>
      </c>
      <c r="C3" s="18">
        <f>$K$22</f>
        <v>0</v>
      </c>
      <c r="D3" s="18">
        <f>$K$23</f>
        <v>0</v>
      </c>
      <c r="E3" s="18">
        <f>$K$24</f>
        <v>9.7558237364999965</v>
      </c>
      <c r="F3" s="18">
        <f>$K$25</f>
        <v>28.888952124899994</v>
      </c>
      <c r="H3" s="19" t="s">
        <v>12</v>
      </c>
      <c r="I3" s="9">
        <v>28.888952124900001</v>
      </c>
      <c r="J3" s="9" t="s">
        <v>42</v>
      </c>
      <c r="K3" s="20"/>
      <c r="L3" s="5"/>
      <c r="M3" s="19" t="s">
        <v>12</v>
      </c>
      <c r="N3" s="21">
        <f>P18</f>
        <v>25.359170976958506</v>
      </c>
      <c r="O3" s="9" t="s">
        <v>42</v>
      </c>
      <c r="P3" s="20"/>
      <c r="Q3" s="5"/>
      <c r="R3" s="19" t="s">
        <v>12</v>
      </c>
      <c r="S3" s="21">
        <f>U18</f>
        <v>33.955885573570001</v>
      </c>
      <c r="T3" s="9" t="s">
        <v>42</v>
      </c>
      <c r="U3" s="20"/>
      <c r="AF3" s="1" t="s">
        <v>83</v>
      </c>
      <c r="AG3" s="15">
        <f t="shared" ref="AG3:AG12" si="0">ABS((AI3-AJ3)/AI3)</f>
        <v>0.55626727376616869</v>
      </c>
      <c r="AH3" s="16">
        <f t="shared" ref="AH3:AH12" si="1">ABS((AK3-AI3)/AI3)</f>
        <v>0.84559003627921459</v>
      </c>
      <c r="AI3" s="1">
        <f t="shared" ref="AI3:AI12" si="2">ABS(AVERAGE($AL3:$TQ3))</f>
        <v>228224439.96454304</v>
      </c>
      <c r="AJ3" s="6">
        <f t="shared" ref="AJ3:AJ12" si="3">ABS(_xlfn.PERCENTILE.INC($AL3:$TQ3,0.05))</f>
        <v>101270652.93865605</v>
      </c>
      <c r="AK3" s="17">
        <f t="shared" ref="AK3:AK12" si="4">ABS(_xlfn.PERCENTILE.INC($AL3:$TQ3,0.95))</f>
        <v>421208752.43396443</v>
      </c>
      <c r="AL3" s="1">
        <v>366876653.58152997</v>
      </c>
      <c r="AM3" s="1">
        <v>249117368.177237</v>
      </c>
      <c r="AN3" s="1">
        <v>196042246.97584999</v>
      </c>
      <c r="AO3" s="6">
        <v>348382478.67494601</v>
      </c>
      <c r="AP3" s="6">
        <v>116189652.84491201</v>
      </c>
      <c r="AQ3" s="6">
        <v>173548261.83183101</v>
      </c>
      <c r="AR3" s="6">
        <v>232568803.12067699</v>
      </c>
      <c r="AS3" s="6">
        <v>153985346.5045</v>
      </c>
      <c r="AT3" s="6">
        <v>154034104.26237801</v>
      </c>
      <c r="AU3" s="6">
        <v>213785849.72417799</v>
      </c>
      <c r="AV3" s="6">
        <v>89686926.912312001</v>
      </c>
      <c r="AW3" s="6">
        <v>227490132.599033</v>
      </c>
      <c r="AX3" s="6">
        <v>247124504.35071</v>
      </c>
      <c r="AY3" s="6">
        <v>402293270.15348703</v>
      </c>
      <c r="AZ3" s="6">
        <v>271101018.223746</v>
      </c>
      <c r="BA3" s="6">
        <v>150720102.29739499</v>
      </c>
      <c r="BB3" s="6">
        <v>161861732.74915799</v>
      </c>
      <c r="BC3" s="6">
        <v>117723549.791492</v>
      </c>
      <c r="BD3" s="6">
        <v>186409138.09761101</v>
      </c>
      <c r="BE3" s="6">
        <v>155794030.72278601</v>
      </c>
      <c r="BF3" s="6">
        <v>28705593.1310177</v>
      </c>
      <c r="BG3" s="6">
        <v>173270993.26338801</v>
      </c>
      <c r="BH3" s="6">
        <v>240097240.15092999</v>
      </c>
      <c r="BI3" s="6">
        <v>318787581.47447997</v>
      </c>
      <c r="BJ3" s="6">
        <v>426463845.33008403</v>
      </c>
      <c r="BK3" s="6">
        <v>320951042.92092103</v>
      </c>
      <c r="BL3" s="6">
        <v>147120126.04733399</v>
      </c>
      <c r="BM3" s="6">
        <v>173878154.44595399</v>
      </c>
      <c r="BN3" s="6">
        <v>231880972.34882101</v>
      </c>
      <c r="BO3" s="6">
        <v>179094823.23095</v>
      </c>
      <c r="BP3" s="6">
        <v>317705758.464661</v>
      </c>
      <c r="BQ3" s="6">
        <v>196851384.97315201</v>
      </c>
      <c r="BR3" s="6">
        <v>315919519.94482303</v>
      </c>
      <c r="BS3" s="6">
        <v>181634433.64262599</v>
      </c>
      <c r="BT3" s="6">
        <v>218916906.05630499</v>
      </c>
      <c r="BU3" s="6">
        <v>173492504.866797</v>
      </c>
      <c r="BV3" s="6">
        <v>207609695.22578499</v>
      </c>
      <c r="BW3" s="6">
        <v>255249277.733338</v>
      </c>
      <c r="BX3" s="6">
        <v>249069943.422869</v>
      </c>
      <c r="BY3" s="6">
        <v>176324172.29809299</v>
      </c>
      <c r="BZ3" s="6">
        <v>135495139.665703</v>
      </c>
      <c r="CA3" s="6">
        <v>340850593.47581297</v>
      </c>
      <c r="CB3" s="6">
        <v>109688832.358548</v>
      </c>
      <c r="CC3" s="6">
        <v>235405651.565332</v>
      </c>
      <c r="CD3" s="6">
        <v>210728003.08176801</v>
      </c>
      <c r="CE3" s="6">
        <v>229671662.117955</v>
      </c>
      <c r="CF3" s="6">
        <v>182889489.606637</v>
      </c>
      <c r="CG3" s="6">
        <v>145772303.214304</v>
      </c>
      <c r="CH3" s="6">
        <v>222685361.189969</v>
      </c>
      <c r="CI3" s="6">
        <v>97403745.383110106</v>
      </c>
      <c r="CJ3" s="6">
        <v>156814447.05562401</v>
      </c>
      <c r="CK3" s="6">
        <v>231301146.203738</v>
      </c>
      <c r="CL3" s="6">
        <v>270291195.76040298</v>
      </c>
      <c r="CM3" s="6">
        <v>209527510.286145</v>
      </c>
      <c r="CN3" s="6">
        <v>148131953.467163</v>
      </c>
      <c r="CO3" s="6">
        <v>154312613.47179499</v>
      </c>
      <c r="CP3" s="6">
        <v>481395603.43751901</v>
      </c>
      <c r="CQ3" s="6">
        <v>390855490.49867201</v>
      </c>
      <c r="CR3" s="6">
        <v>213248352.81693199</v>
      </c>
      <c r="CS3" s="6">
        <v>147419002.60899499</v>
      </c>
      <c r="CT3" s="6">
        <v>230936231.14856401</v>
      </c>
      <c r="CU3" s="6">
        <v>183282788.717801</v>
      </c>
      <c r="CV3" s="6">
        <v>63420713.327973798</v>
      </c>
      <c r="CW3" s="6">
        <v>266511872.05881</v>
      </c>
      <c r="CX3" s="6">
        <v>241183358.271229</v>
      </c>
      <c r="CY3" s="6">
        <v>90423731.703439206</v>
      </c>
      <c r="CZ3" s="6">
        <v>323668830.816989</v>
      </c>
      <c r="DA3" s="6">
        <v>132490818.734864</v>
      </c>
      <c r="DB3" s="6">
        <v>219816920.87130901</v>
      </c>
      <c r="DC3" s="6">
        <v>411026421.37302899</v>
      </c>
      <c r="DD3" s="6">
        <v>147047239.89001799</v>
      </c>
      <c r="DE3" s="6">
        <v>216593190.94487599</v>
      </c>
      <c r="DF3" s="6">
        <v>259626004.34957299</v>
      </c>
      <c r="DG3" s="6">
        <v>227029822.81797901</v>
      </c>
      <c r="DH3" s="6">
        <v>108200965.01625399</v>
      </c>
      <c r="DI3" s="6">
        <v>297563300.71109903</v>
      </c>
      <c r="DJ3" s="6">
        <v>217368255.01482001</v>
      </c>
      <c r="DK3" s="6">
        <v>236509263.44436401</v>
      </c>
      <c r="DL3" s="6">
        <v>684363006.15741503</v>
      </c>
      <c r="DM3" s="6">
        <v>147848768.21336901</v>
      </c>
      <c r="DN3" s="6">
        <v>110971921.514309</v>
      </c>
      <c r="DO3" s="6">
        <v>221188734.86858699</v>
      </c>
      <c r="DP3" s="6">
        <v>163829250.93119699</v>
      </c>
      <c r="DQ3" s="6">
        <v>385320713.06569999</v>
      </c>
      <c r="DR3" s="6">
        <v>174868790.755878</v>
      </c>
      <c r="DS3" s="6">
        <v>142071628.898011</v>
      </c>
      <c r="DT3" s="6">
        <v>161744355.784637</v>
      </c>
      <c r="DU3" s="6">
        <v>224022739.30230999</v>
      </c>
      <c r="DV3" s="6">
        <v>168823723.72196099</v>
      </c>
      <c r="DW3" s="6">
        <v>99062183.085009798</v>
      </c>
      <c r="DX3" s="6">
        <v>302374155.74392599</v>
      </c>
      <c r="DY3" s="6">
        <v>138485486.00838399</v>
      </c>
      <c r="DZ3" s="6">
        <v>134114546.59418599</v>
      </c>
      <c r="EA3" s="6">
        <v>173529725.817601</v>
      </c>
      <c r="EB3" s="6">
        <v>157272874.49841699</v>
      </c>
      <c r="EC3" s="6">
        <v>96897175.437437907</v>
      </c>
      <c r="ED3" s="6">
        <v>241316391.90516299</v>
      </c>
      <c r="EE3" s="6">
        <v>423719044.31919301</v>
      </c>
      <c r="EF3" s="6">
        <v>213939985.05765799</v>
      </c>
      <c r="EG3" s="6">
        <v>431164968.89272499</v>
      </c>
      <c r="EH3" s="6">
        <v>276340763.74089497</v>
      </c>
      <c r="EI3" s="6">
        <v>184379183.13831401</v>
      </c>
      <c r="EJ3" s="6">
        <v>165023892.82949501</v>
      </c>
      <c r="EK3" s="6">
        <v>177968951.93442199</v>
      </c>
      <c r="EL3" s="6">
        <v>337071939.69296801</v>
      </c>
      <c r="EM3" s="6">
        <v>425269471.642703</v>
      </c>
      <c r="EN3" s="6">
        <v>102848366.06372</v>
      </c>
      <c r="EO3" s="6">
        <v>222668094.725108</v>
      </c>
      <c r="EP3" s="6">
        <v>257993668.48437899</v>
      </c>
      <c r="EQ3" s="6">
        <v>123736220.18187</v>
      </c>
      <c r="ER3" s="6">
        <v>256818735.95466</v>
      </c>
      <c r="ES3" s="6">
        <v>199918829.47563601</v>
      </c>
      <c r="ET3" s="6">
        <v>282215676.84074497</v>
      </c>
      <c r="EU3" s="6">
        <v>199158123.64899901</v>
      </c>
      <c r="EV3" s="6">
        <v>211432458.26818901</v>
      </c>
      <c r="EW3" s="6">
        <v>181159799.59860101</v>
      </c>
      <c r="EX3" s="6">
        <v>119284901.603466</v>
      </c>
      <c r="EY3" s="6">
        <v>634874949.09867704</v>
      </c>
      <c r="EZ3" s="6">
        <v>137353446.59852099</v>
      </c>
      <c r="FA3" s="6">
        <v>65477688.518550098</v>
      </c>
      <c r="FB3" s="6">
        <v>82237536.753029197</v>
      </c>
      <c r="FC3" s="6">
        <v>160588949.29947299</v>
      </c>
      <c r="FD3" s="6">
        <v>214968869.73981601</v>
      </c>
      <c r="FE3" s="6">
        <v>197029847.88858601</v>
      </c>
      <c r="FF3" s="6">
        <v>259118514.81891501</v>
      </c>
      <c r="FG3" s="6">
        <v>243734291.42418599</v>
      </c>
      <c r="FH3" s="6">
        <v>134102055.17763101</v>
      </c>
      <c r="FI3" s="6">
        <v>269357534.36473697</v>
      </c>
      <c r="FJ3" s="6">
        <v>220915308.08766001</v>
      </c>
      <c r="FK3" s="6">
        <v>245064606.43253601</v>
      </c>
      <c r="FL3" s="6">
        <v>132554369.259617</v>
      </c>
      <c r="FM3" s="6">
        <v>169949964.60518801</v>
      </c>
      <c r="FN3" s="6">
        <v>164234541.86226901</v>
      </c>
      <c r="FO3" s="6">
        <v>412964873.341362</v>
      </c>
      <c r="FP3" s="6">
        <v>236760937.95571101</v>
      </c>
      <c r="FQ3" s="6">
        <v>497212450.83013701</v>
      </c>
      <c r="FR3" s="6">
        <v>424806776.476726</v>
      </c>
      <c r="FS3" s="6">
        <v>109349993.56104501</v>
      </c>
      <c r="FT3" s="6">
        <v>217066158.81581801</v>
      </c>
      <c r="FU3" s="6">
        <v>473297630.44659001</v>
      </c>
      <c r="FV3" s="6">
        <v>214587135.34470701</v>
      </c>
      <c r="FW3" s="6">
        <v>285693255.18010801</v>
      </c>
      <c r="FX3" s="6">
        <v>186505386.925558</v>
      </c>
      <c r="FY3" s="6">
        <v>90707265.857401103</v>
      </c>
      <c r="FZ3" s="6">
        <v>164578994.634112</v>
      </c>
      <c r="GA3" s="6">
        <v>277043868.947604</v>
      </c>
      <c r="GB3" s="6">
        <v>103066547.946262</v>
      </c>
      <c r="GC3" s="6">
        <v>506955960.94842398</v>
      </c>
      <c r="GD3" s="6">
        <v>221752383.14723799</v>
      </c>
      <c r="GE3" s="6">
        <v>282658000.24513698</v>
      </c>
      <c r="GF3" s="6">
        <v>247630027.09473699</v>
      </c>
      <c r="GG3" s="6">
        <v>258202579.03237301</v>
      </c>
      <c r="GH3" s="6">
        <v>161729336.76538801</v>
      </c>
      <c r="GI3" s="6">
        <v>170393667.514373</v>
      </c>
      <c r="GJ3" s="6">
        <v>502464051.24437898</v>
      </c>
      <c r="GK3" s="6">
        <v>278389640.48477203</v>
      </c>
      <c r="GL3" s="6">
        <v>313657837.03349298</v>
      </c>
      <c r="GM3" s="6">
        <v>372603402.43619198</v>
      </c>
      <c r="GN3" s="6">
        <v>254459209.27919</v>
      </c>
      <c r="GO3" s="6">
        <v>169920300.31288701</v>
      </c>
      <c r="GP3" s="6">
        <v>153347710.84402701</v>
      </c>
      <c r="GQ3" s="6">
        <v>236965667.18094799</v>
      </c>
      <c r="GR3" s="6">
        <v>343497107.86660498</v>
      </c>
      <c r="GS3" s="6">
        <v>206744476.309082</v>
      </c>
      <c r="GT3" s="6">
        <v>243372423.36180899</v>
      </c>
      <c r="GU3" s="6">
        <v>134814570.83290201</v>
      </c>
      <c r="GV3" s="6">
        <v>133879912.96807</v>
      </c>
      <c r="GW3" s="6">
        <v>265314798.59216899</v>
      </c>
      <c r="GX3" s="6">
        <v>387830010.94906902</v>
      </c>
      <c r="GY3" s="6">
        <v>169047419.34350201</v>
      </c>
      <c r="GZ3" s="6">
        <v>182791973.39447099</v>
      </c>
      <c r="HA3" s="6">
        <v>288427661.38438398</v>
      </c>
      <c r="HB3" s="6">
        <v>118185869.094726</v>
      </c>
      <c r="HC3" s="6">
        <v>260537032.83132601</v>
      </c>
      <c r="HD3" s="6">
        <v>203501068.25569099</v>
      </c>
      <c r="HE3" s="6">
        <v>236133803.62254199</v>
      </c>
      <c r="HF3" s="6">
        <v>293615986.23013198</v>
      </c>
      <c r="HG3" s="6">
        <v>306210521.71352398</v>
      </c>
      <c r="HH3" s="6">
        <v>142598699.85414401</v>
      </c>
      <c r="HI3" s="6">
        <v>205119766.45489001</v>
      </c>
      <c r="HJ3" s="6">
        <v>414921953.167247</v>
      </c>
      <c r="HK3" s="6">
        <v>230931462.374648</v>
      </c>
      <c r="HL3" s="6">
        <v>187479265.32218799</v>
      </c>
      <c r="HM3" s="6">
        <v>127708309.441609</v>
      </c>
      <c r="HN3" s="6">
        <v>421882014.04986501</v>
      </c>
      <c r="HO3" s="6">
        <v>169526906.771431</v>
      </c>
      <c r="HP3" s="6">
        <v>189392312.98373801</v>
      </c>
      <c r="HQ3" s="6">
        <v>189533389.92034301</v>
      </c>
      <c r="HR3" s="6">
        <v>399264090.10454202</v>
      </c>
      <c r="HS3" s="6">
        <v>101546339.173756</v>
      </c>
      <c r="HT3" s="6">
        <v>151502017.53498599</v>
      </c>
      <c r="HU3" s="6">
        <v>576084060.779109</v>
      </c>
      <c r="HV3" s="6">
        <v>157726231.51717699</v>
      </c>
      <c r="HW3" s="6">
        <v>569618989.29785502</v>
      </c>
      <c r="HX3" s="6">
        <v>141296120.91949099</v>
      </c>
      <c r="HY3" s="6">
        <v>171895135.478953</v>
      </c>
      <c r="HZ3" s="6">
        <v>241841760.48981601</v>
      </c>
      <c r="IA3" s="6">
        <v>392407925.42931598</v>
      </c>
      <c r="IB3" s="6">
        <v>321511250.612059</v>
      </c>
      <c r="IC3" s="6">
        <v>254496561.192763</v>
      </c>
      <c r="ID3" s="6">
        <v>186812064.00518399</v>
      </c>
      <c r="IE3" s="6">
        <v>96572208.151465803</v>
      </c>
      <c r="IF3" s="6">
        <v>100252988.343537</v>
      </c>
      <c r="IG3" s="6">
        <v>196785766.97830299</v>
      </c>
      <c r="IH3" s="6">
        <v>117728670.426561</v>
      </c>
      <c r="II3" s="6">
        <v>158051085.88389</v>
      </c>
      <c r="IJ3" s="6">
        <v>225035310.35263699</v>
      </c>
      <c r="IK3" s="6">
        <v>150544292.04633999</v>
      </c>
      <c r="IL3" s="6">
        <v>254215394.00214201</v>
      </c>
      <c r="IM3" s="6">
        <v>205962342.46510899</v>
      </c>
      <c r="IN3" s="6">
        <v>471594767.08996099</v>
      </c>
      <c r="IO3" s="6">
        <v>298824826.08056599</v>
      </c>
      <c r="IP3" s="6">
        <v>345451378.716326</v>
      </c>
      <c r="IQ3" s="6">
        <v>207264579.577369</v>
      </c>
      <c r="IR3" s="6">
        <v>113629688.892038</v>
      </c>
      <c r="IS3" s="6">
        <v>151970289.588709</v>
      </c>
      <c r="IT3" s="6">
        <v>318032729.50558501</v>
      </c>
      <c r="IU3" s="6">
        <v>146586754.88394001</v>
      </c>
      <c r="IV3" s="6">
        <v>241841094.42211199</v>
      </c>
      <c r="IW3" s="6">
        <v>556611559.56218803</v>
      </c>
      <c r="IX3" s="6">
        <v>252068444.00532499</v>
      </c>
      <c r="IY3" s="6">
        <v>295354521.44673902</v>
      </c>
      <c r="IZ3" s="6">
        <v>119707904.029376</v>
      </c>
      <c r="JA3" s="6">
        <v>97124617.435343996</v>
      </c>
      <c r="JB3" s="6">
        <v>234054754.044682</v>
      </c>
      <c r="JC3" s="6">
        <v>337238412.76720899</v>
      </c>
      <c r="JD3" s="6">
        <v>114615907.677894</v>
      </c>
      <c r="JE3" s="6">
        <v>176195398.68050301</v>
      </c>
      <c r="JF3" s="6">
        <v>135707404.83378199</v>
      </c>
      <c r="JG3" s="6">
        <v>295188634.62316799</v>
      </c>
      <c r="JH3" s="6">
        <v>170866604.64605001</v>
      </c>
      <c r="JI3" s="6">
        <v>101324214.233136</v>
      </c>
      <c r="JJ3" s="6">
        <v>139710657.963853</v>
      </c>
      <c r="JK3" s="6">
        <v>321867489.77174199</v>
      </c>
      <c r="JL3" s="6">
        <v>183269096.05922899</v>
      </c>
      <c r="JM3" s="6">
        <v>334957734.26388597</v>
      </c>
      <c r="JN3" s="6">
        <v>193307998.17284599</v>
      </c>
      <c r="JO3" s="6">
        <v>263528446.70900801</v>
      </c>
      <c r="JP3" s="6">
        <v>390605576.08624703</v>
      </c>
      <c r="JQ3" s="6">
        <v>314973441.47642201</v>
      </c>
      <c r="JR3" s="6">
        <v>309407445.72934598</v>
      </c>
      <c r="JS3" s="6">
        <v>223181389.76289499</v>
      </c>
      <c r="JT3" s="6">
        <v>263819282.32310301</v>
      </c>
      <c r="JU3" s="6">
        <v>101879681.277694</v>
      </c>
      <c r="JV3" s="6">
        <v>433683340.01727498</v>
      </c>
      <c r="JW3" s="6">
        <v>229646139.81916401</v>
      </c>
      <c r="JX3" s="6">
        <v>277000139.27260399</v>
      </c>
      <c r="JY3" s="6">
        <v>217741874.636026</v>
      </c>
      <c r="JZ3" s="6">
        <v>241546530.024138</v>
      </c>
      <c r="KA3" s="6">
        <v>211993219.53397</v>
      </c>
      <c r="KB3" s="6">
        <v>317020549.899441</v>
      </c>
      <c r="KC3" s="6">
        <v>259326276.067891</v>
      </c>
      <c r="KD3" s="6">
        <v>157884015.71259201</v>
      </c>
      <c r="KE3" s="6">
        <v>162606250.07958099</v>
      </c>
      <c r="KF3" s="6">
        <v>232308434.04253101</v>
      </c>
      <c r="KG3" s="6">
        <v>175246119.475907</v>
      </c>
      <c r="KH3" s="6">
        <v>119393097.146164</v>
      </c>
      <c r="KI3" s="6">
        <v>234675375.63181701</v>
      </c>
      <c r="KJ3" s="6">
        <v>104282258.554786</v>
      </c>
      <c r="KK3" s="6">
        <v>186700106.80751699</v>
      </c>
      <c r="KL3" s="6">
        <v>404873839.25295103</v>
      </c>
      <c r="KM3" s="6">
        <v>284677190.68078101</v>
      </c>
      <c r="KN3" s="6">
        <v>99616251.068318605</v>
      </c>
      <c r="KO3" s="6">
        <v>166555562.020134</v>
      </c>
      <c r="KP3" s="6">
        <v>371902323.33876801</v>
      </c>
      <c r="KQ3" s="6">
        <v>26059988.281620499</v>
      </c>
      <c r="KR3" s="6">
        <v>385986079.39476502</v>
      </c>
      <c r="KS3" s="6">
        <v>134360770.07052201</v>
      </c>
      <c r="KT3" s="6">
        <v>389935125.64982498</v>
      </c>
      <c r="KU3" s="6">
        <v>221946971.81343099</v>
      </c>
      <c r="KV3" s="6">
        <v>234657348.366851</v>
      </c>
      <c r="KW3" s="6">
        <v>130347524.08158</v>
      </c>
      <c r="KX3" s="6">
        <v>316864628.59924698</v>
      </c>
      <c r="KY3" s="6">
        <v>134916007.21859601</v>
      </c>
      <c r="KZ3" s="6">
        <v>393487524.93673998</v>
      </c>
      <c r="LA3" s="6">
        <v>181735478.95507601</v>
      </c>
      <c r="LB3" s="6">
        <v>249160949.33636001</v>
      </c>
      <c r="LC3" s="6">
        <v>166299633.45291901</v>
      </c>
      <c r="LD3" s="6">
        <v>79945828.324600294</v>
      </c>
      <c r="LE3" s="6">
        <v>195411296.91485199</v>
      </c>
      <c r="LF3" s="6">
        <v>215739638.323414</v>
      </c>
      <c r="LG3" s="6">
        <v>180393422.39268601</v>
      </c>
      <c r="LH3" s="6">
        <v>316706420.45924503</v>
      </c>
      <c r="LI3" s="6">
        <v>64717134.561048903</v>
      </c>
      <c r="LJ3" s="6">
        <v>193048421.55086401</v>
      </c>
      <c r="LK3" s="6">
        <v>143477680.02322799</v>
      </c>
      <c r="LL3" s="6">
        <v>198187553.459077</v>
      </c>
      <c r="LM3" s="6">
        <v>629248130.28961694</v>
      </c>
      <c r="LN3" s="6">
        <v>147424150.57028699</v>
      </c>
      <c r="LO3" s="6">
        <v>-35192242.267845303</v>
      </c>
      <c r="LP3" s="6">
        <v>124430009.152081</v>
      </c>
      <c r="LQ3" s="6">
        <v>221587967.66693899</v>
      </c>
      <c r="LR3" s="6">
        <v>141271894.83011699</v>
      </c>
      <c r="LS3" s="6">
        <v>180647188.166264</v>
      </c>
      <c r="LT3" s="6">
        <v>249968007.13448</v>
      </c>
      <c r="LU3" s="6">
        <v>343978985.12852901</v>
      </c>
      <c r="LV3" s="6">
        <v>233193703.74678501</v>
      </c>
      <c r="LW3" s="6">
        <v>194935439.095164</v>
      </c>
      <c r="LX3" s="6">
        <v>130606528.601969</v>
      </c>
      <c r="LY3" s="6">
        <v>409510268.772165</v>
      </c>
      <c r="LZ3" s="6">
        <v>421173317.61207497</v>
      </c>
      <c r="MA3" s="6">
        <v>290516856.668764</v>
      </c>
      <c r="MB3" s="6">
        <v>154254167.918973</v>
      </c>
      <c r="MC3" s="6">
        <v>340249680.02886802</v>
      </c>
      <c r="MD3" s="6">
        <v>154348810.95696101</v>
      </c>
      <c r="ME3" s="6">
        <v>257506721.607178</v>
      </c>
      <c r="MF3" s="6">
        <v>157868075.52845201</v>
      </c>
      <c r="MG3" s="6">
        <v>85975084.033222601</v>
      </c>
      <c r="MH3" s="6">
        <v>204498221.50600901</v>
      </c>
      <c r="MI3" s="6">
        <v>305625933.19037598</v>
      </c>
      <c r="MJ3" s="6">
        <v>141034837.29611701</v>
      </c>
      <c r="MK3" s="6">
        <v>171731074.994737</v>
      </c>
      <c r="ML3" s="6">
        <v>226012229.38788599</v>
      </c>
      <c r="MM3" s="6">
        <v>224071684.846073</v>
      </c>
      <c r="MN3" s="6">
        <v>337371489.21435797</v>
      </c>
      <c r="MO3" s="6">
        <v>195383224.856785</v>
      </c>
      <c r="MP3" s="6">
        <v>240226091.24171299</v>
      </c>
      <c r="MQ3" s="6">
        <v>169787227.31641799</v>
      </c>
      <c r="MR3" s="6">
        <v>83877876.308146298</v>
      </c>
      <c r="MS3" s="6">
        <v>316971712.15635198</v>
      </c>
      <c r="MT3" s="6">
        <v>162670986.381042</v>
      </c>
      <c r="MU3" s="6">
        <v>498573362.58558601</v>
      </c>
      <c r="MV3" s="6">
        <v>257769460.746961</v>
      </c>
      <c r="MW3" s="6">
        <v>250805785.810619</v>
      </c>
      <c r="MX3" s="6">
        <v>120275031.209342</v>
      </c>
      <c r="MY3" s="6">
        <v>332655574.298114</v>
      </c>
      <c r="MZ3" s="6">
        <v>266713165.34705099</v>
      </c>
      <c r="NA3" s="6">
        <v>139500231.70074001</v>
      </c>
      <c r="NB3" s="6">
        <v>99830674.446355298</v>
      </c>
      <c r="NC3" s="6">
        <v>128383178.820591</v>
      </c>
      <c r="ND3" s="6">
        <v>144007929.87324199</v>
      </c>
      <c r="NE3" s="6">
        <v>212671014.31533301</v>
      </c>
      <c r="NF3" s="6">
        <v>315608455.437365</v>
      </c>
      <c r="NG3" s="6">
        <v>171470892.95518199</v>
      </c>
      <c r="NH3" s="6">
        <v>176000318.83265299</v>
      </c>
      <c r="NI3" s="6">
        <v>251000747.10361701</v>
      </c>
      <c r="NJ3" s="6">
        <v>148224673.81275299</v>
      </c>
      <c r="NK3" s="6">
        <v>352009235.79269302</v>
      </c>
      <c r="NL3" s="6">
        <v>209828006.62432</v>
      </c>
      <c r="NM3" s="6">
        <v>233511264.83182999</v>
      </c>
      <c r="NN3" s="6">
        <v>280514293.070907</v>
      </c>
      <c r="NO3" s="6">
        <v>266556769.891983</v>
      </c>
      <c r="NP3" s="6">
        <v>168928606.378748</v>
      </c>
      <c r="NQ3" s="6">
        <v>269538761.21813297</v>
      </c>
      <c r="NR3" s="6">
        <v>229670249.15961501</v>
      </c>
      <c r="NS3" s="6">
        <v>410373088.24639797</v>
      </c>
      <c r="NT3" s="6">
        <v>173984143.50277901</v>
      </c>
      <c r="NU3" s="6">
        <v>362806532.30364799</v>
      </c>
      <c r="NV3" s="6">
        <v>97429723.512475699</v>
      </c>
      <c r="NW3" s="6">
        <v>175657836.91169599</v>
      </c>
      <c r="NX3" s="6">
        <v>181480195.44826201</v>
      </c>
      <c r="NY3" s="6">
        <v>337438994.21089602</v>
      </c>
      <c r="NZ3" s="6">
        <v>358746162.01740599</v>
      </c>
      <c r="OA3" s="6">
        <v>175663474.65512401</v>
      </c>
      <c r="OB3" s="6">
        <v>197781068.475685</v>
      </c>
      <c r="OC3" s="6">
        <v>174144835.72766101</v>
      </c>
      <c r="OD3" s="6">
        <v>133721118.69097</v>
      </c>
      <c r="OE3" s="6">
        <v>153825220.43876299</v>
      </c>
      <c r="OF3" s="6">
        <v>174212157.16439599</v>
      </c>
      <c r="OG3" s="6">
        <v>210377259.18924499</v>
      </c>
      <c r="OH3" s="6">
        <v>214804701.50053301</v>
      </c>
      <c r="OI3" s="6">
        <v>233688537.10107601</v>
      </c>
      <c r="OJ3" s="6">
        <v>140694140.71706399</v>
      </c>
      <c r="OK3" s="6">
        <v>139210463.587437</v>
      </c>
      <c r="OL3" s="6">
        <v>144084938.56539899</v>
      </c>
      <c r="OM3" s="6">
        <v>176428936.77767399</v>
      </c>
      <c r="ON3" s="6">
        <v>181540565.546597</v>
      </c>
      <c r="OO3" s="6">
        <v>229216156.417647</v>
      </c>
      <c r="OP3" s="6">
        <v>109366613.150077</v>
      </c>
      <c r="OQ3" s="6">
        <v>316907092.85807401</v>
      </c>
      <c r="OR3" s="6">
        <v>147845846.03419799</v>
      </c>
      <c r="OS3" s="6">
        <v>170240232.11545199</v>
      </c>
      <c r="OT3" s="6">
        <v>255698975.4183</v>
      </c>
      <c r="OU3" s="6">
        <v>277282306.12086898</v>
      </c>
      <c r="OV3" s="6">
        <v>320249999.20272499</v>
      </c>
      <c r="OW3" s="6">
        <v>183199331.68084401</v>
      </c>
      <c r="OX3" s="6">
        <v>251826496.83809701</v>
      </c>
      <c r="OY3" s="6">
        <v>181191901.355575</v>
      </c>
      <c r="OZ3" s="6">
        <v>873321591.67369795</v>
      </c>
      <c r="PA3" s="6">
        <v>239702767.82900801</v>
      </c>
      <c r="PB3" s="6">
        <v>359617634.05088598</v>
      </c>
      <c r="PC3" s="6">
        <v>144769604.523949</v>
      </c>
      <c r="PD3" s="6">
        <v>247704651.08596301</v>
      </c>
      <c r="PE3" s="6">
        <v>243302500.32836199</v>
      </c>
      <c r="PF3" s="6">
        <v>228741279.998193</v>
      </c>
      <c r="PG3" s="6">
        <v>178932941.25680399</v>
      </c>
      <c r="PH3" s="6">
        <v>359183684.77067202</v>
      </c>
      <c r="PI3" s="6">
        <v>259724201.73468801</v>
      </c>
      <c r="PJ3" s="6">
        <v>175694782.876095</v>
      </c>
      <c r="PK3" s="6">
        <v>341951119.30005997</v>
      </c>
      <c r="PL3" s="6">
        <v>345247269.45003301</v>
      </c>
      <c r="PM3" s="6">
        <v>116690387.50299899</v>
      </c>
      <c r="PN3" s="6">
        <v>228223357.97806901</v>
      </c>
      <c r="PO3" s="6">
        <v>169834510.066513</v>
      </c>
      <c r="PP3" s="6">
        <v>189283484.31287599</v>
      </c>
      <c r="PQ3" s="6">
        <v>276450111.85665703</v>
      </c>
      <c r="PR3" s="6">
        <v>336845547.53412902</v>
      </c>
      <c r="PS3" s="6">
        <v>96543345.373404607</v>
      </c>
      <c r="PT3" s="6">
        <v>194123503.12879401</v>
      </c>
      <c r="PU3" s="6">
        <v>215697081.51305401</v>
      </c>
      <c r="PV3" s="6">
        <v>229224990.752628</v>
      </c>
      <c r="PW3" s="6">
        <v>192433747.708859</v>
      </c>
      <c r="PX3" s="6">
        <v>205134200.129471</v>
      </c>
      <c r="PY3" s="6">
        <v>140077167.21939099</v>
      </c>
      <c r="PZ3" s="6">
        <v>273309770.64824897</v>
      </c>
      <c r="QA3" s="6">
        <v>176525908.52071199</v>
      </c>
      <c r="QB3" s="6">
        <v>389484691.526025</v>
      </c>
      <c r="QC3" s="6">
        <v>126173156.37538999</v>
      </c>
      <c r="QD3" s="6">
        <v>139608242.229105</v>
      </c>
      <c r="QE3" s="6">
        <v>144200477.968299</v>
      </c>
      <c r="QF3" s="6">
        <v>67716589.748284206</v>
      </c>
      <c r="QG3" s="6">
        <v>408191358.87910402</v>
      </c>
      <c r="QH3" s="6">
        <v>328662340.89885002</v>
      </c>
      <c r="QI3" s="6">
        <v>312536960.26113099</v>
      </c>
      <c r="QJ3" s="6">
        <v>124739699.176379</v>
      </c>
      <c r="QK3" s="6">
        <v>301918205.32067698</v>
      </c>
      <c r="QL3" s="6">
        <v>199550037.046251</v>
      </c>
      <c r="QM3" s="6">
        <v>134394840.85262299</v>
      </c>
      <c r="QN3" s="6">
        <v>144590053.535229</v>
      </c>
      <c r="QO3" s="6">
        <v>231161587.880597</v>
      </c>
      <c r="QP3" s="6">
        <v>233851103.80264801</v>
      </c>
      <c r="QQ3" s="6">
        <v>277091956.65505999</v>
      </c>
      <c r="QR3" s="6">
        <v>281127207.35674602</v>
      </c>
      <c r="QS3" s="6">
        <v>167582258.07666099</v>
      </c>
      <c r="QT3" s="6">
        <v>242171998.341196</v>
      </c>
      <c r="QU3" s="6">
        <v>312348185.047023</v>
      </c>
      <c r="QV3" s="6">
        <v>187195608.889117</v>
      </c>
      <c r="QW3" s="6">
        <v>218392725.66740799</v>
      </c>
      <c r="QX3" s="6">
        <v>208996523.64540201</v>
      </c>
      <c r="QY3" s="6">
        <v>220365507.315916</v>
      </c>
      <c r="QZ3" s="6">
        <v>125522290.261602</v>
      </c>
      <c r="RA3" s="6">
        <v>166443799.82694</v>
      </c>
      <c r="RB3" s="6">
        <v>122549331.269666</v>
      </c>
      <c r="RC3" s="6">
        <v>236057201.45862299</v>
      </c>
      <c r="RD3" s="6">
        <v>163276333.13028401</v>
      </c>
      <c r="RE3" s="6">
        <v>143644125.946668</v>
      </c>
      <c r="RF3" s="6">
        <v>132639434.58041</v>
      </c>
      <c r="RG3" s="6">
        <v>198784778.71665901</v>
      </c>
      <c r="RH3" s="6">
        <v>331825915.174649</v>
      </c>
      <c r="RI3" s="6">
        <v>206690814.74278399</v>
      </c>
      <c r="RJ3" s="6">
        <v>200167557.333765</v>
      </c>
      <c r="RK3" s="6">
        <v>331659430.52766699</v>
      </c>
      <c r="RL3" s="6">
        <v>306841301.43420798</v>
      </c>
      <c r="RM3" s="6">
        <v>382996863.21193397</v>
      </c>
      <c r="RN3" s="6">
        <v>69796696.076098397</v>
      </c>
      <c r="RO3" s="6">
        <v>252863237.209405</v>
      </c>
      <c r="RP3" s="6">
        <v>212875289.63161001</v>
      </c>
      <c r="RQ3" s="6">
        <v>341125264.58532399</v>
      </c>
      <c r="RR3" s="6">
        <v>166541282.94104999</v>
      </c>
      <c r="RS3" s="6">
        <v>304192854.778597</v>
      </c>
      <c r="RT3" s="6">
        <v>104488174.16923399</v>
      </c>
      <c r="RU3" s="6">
        <v>168661405.85887799</v>
      </c>
      <c r="RV3" s="6">
        <v>232393282.27007601</v>
      </c>
      <c r="RW3" s="6">
        <v>170510873.20973</v>
      </c>
      <c r="RX3" s="6">
        <v>194827456.98391399</v>
      </c>
      <c r="RY3" s="6">
        <v>537437582.08948898</v>
      </c>
      <c r="RZ3" s="6">
        <v>174757974.17068201</v>
      </c>
      <c r="SA3" s="6">
        <v>294135401.17484802</v>
      </c>
      <c r="SB3" s="6">
        <v>142480939.99538299</v>
      </c>
      <c r="SC3" s="6">
        <v>134620313.490448</v>
      </c>
      <c r="SD3" s="6">
        <v>121622661.769126</v>
      </c>
      <c r="SE3" s="6">
        <v>122534633.784785</v>
      </c>
      <c r="SF3" s="6">
        <v>127422531.25925</v>
      </c>
      <c r="SG3" s="6">
        <v>164164521.469484</v>
      </c>
      <c r="SH3" s="6">
        <v>347620218.74052799</v>
      </c>
      <c r="SI3" s="6">
        <v>266772274.295398</v>
      </c>
      <c r="SJ3" s="6">
        <v>444110271.88902903</v>
      </c>
      <c r="SK3" s="6">
        <v>196944478.790488</v>
      </c>
      <c r="SL3" s="6">
        <v>199666052.977981</v>
      </c>
      <c r="SM3" s="6">
        <v>485881659.14533502</v>
      </c>
      <c r="SN3" s="6">
        <v>463956332.67266202</v>
      </c>
      <c r="SO3" s="6">
        <v>151448417.75865</v>
      </c>
      <c r="SP3" s="6">
        <v>217565599.11718199</v>
      </c>
      <c r="SQ3" s="6">
        <v>262832521.89765301</v>
      </c>
      <c r="SR3" s="6">
        <v>136010760.95705301</v>
      </c>
      <c r="SS3" s="6">
        <v>205568849.98301601</v>
      </c>
      <c r="ST3" s="6">
        <v>159663440.51530001</v>
      </c>
      <c r="SU3" s="6">
        <v>204897966.03207999</v>
      </c>
      <c r="SV3" s="6">
        <v>396527793.51985002</v>
      </c>
      <c r="SW3" s="6">
        <v>280828290.97987401</v>
      </c>
      <c r="SX3" s="6">
        <v>137622328.55663899</v>
      </c>
      <c r="SY3" s="6">
        <v>398760570.98804802</v>
      </c>
      <c r="SZ3" s="6">
        <v>169201080.65351701</v>
      </c>
      <c r="TA3" s="6">
        <v>137116484.34240499</v>
      </c>
      <c r="TB3" s="6">
        <v>330404875.219414</v>
      </c>
      <c r="TC3" s="6">
        <v>155571918.04155999</v>
      </c>
      <c r="TD3" s="6">
        <v>212164469.06366301</v>
      </c>
      <c r="TE3" s="6">
        <v>240678782.23180199</v>
      </c>
      <c r="TF3" s="6">
        <v>228248551.97568399</v>
      </c>
      <c r="TG3" s="6">
        <v>143019784.60787401</v>
      </c>
      <c r="TH3" s="6">
        <v>272568506.05102199</v>
      </c>
      <c r="TI3" s="6">
        <v>190933932.81779999</v>
      </c>
      <c r="TJ3" s="6">
        <v>294494936.46077198</v>
      </c>
      <c r="TK3" s="6">
        <v>142878022.69813699</v>
      </c>
      <c r="TL3" s="6">
        <v>148686444.772331</v>
      </c>
      <c r="TM3" s="6">
        <v>242720320.47575</v>
      </c>
      <c r="TN3" s="6">
        <v>243751237.84635499</v>
      </c>
      <c r="TO3" s="6">
        <v>283281403.30847502</v>
      </c>
      <c r="TP3" s="6">
        <v>255020897.883549</v>
      </c>
      <c r="TQ3" s="6">
        <v>111098320.105226</v>
      </c>
    </row>
    <row r="4" spans="1:537" ht="43.2" x14ac:dyDescent="0.3">
      <c r="A4" s="14" t="str">
        <f>M2</f>
        <v>5th Percentile Ecoinvent 3.9.1  'cobalt sulfate production' (kilogram, CN, None)</v>
      </c>
      <c r="B4" s="18">
        <f>P21</f>
        <v>18.076564580726739</v>
      </c>
      <c r="C4" s="18">
        <f>P22</f>
        <v>0</v>
      </c>
      <c r="D4" s="18">
        <f>P23</f>
        <v>0</v>
      </c>
      <c r="E4" s="18">
        <f>P24</f>
        <v>7.2826063962317633</v>
      </c>
      <c r="F4" s="18">
        <f>P25</f>
        <v>25.359170976958499</v>
      </c>
      <c r="H4" s="19"/>
      <c r="I4" s="22"/>
      <c r="J4" s="9"/>
      <c r="K4" s="20"/>
      <c r="L4" s="5"/>
      <c r="M4" s="19"/>
      <c r="N4" s="22"/>
      <c r="O4" s="9"/>
      <c r="P4" s="20"/>
      <c r="Q4" s="5"/>
      <c r="R4" s="19"/>
      <c r="S4" s="22"/>
      <c r="T4" s="9"/>
      <c r="U4" s="20"/>
      <c r="AF4" s="1" t="s">
        <v>77</v>
      </c>
      <c r="AG4" s="15">
        <f t="shared" si="0"/>
        <v>5.5221696432760807E-2</v>
      </c>
      <c r="AH4" s="16">
        <f t="shared" si="1"/>
        <v>0.13791400931060416</v>
      </c>
      <c r="AI4" s="1">
        <f t="shared" si="2"/>
        <v>40.229706074884007</v>
      </c>
      <c r="AJ4" s="6">
        <f t="shared" si="3"/>
        <v>38.008153458437569</v>
      </c>
      <c r="AK4" s="17">
        <f t="shared" si="4"/>
        <v>45.777946133058428</v>
      </c>
      <c r="AL4" s="1">
        <v>43.427562854847203</v>
      </c>
      <c r="AM4" s="1">
        <v>39.919007955124997</v>
      </c>
      <c r="AN4" s="1">
        <v>40.959982023932099</v>
      </c>
      <c r="AO4" s="6">
        <v>38.892060407129598</v>
      </c>
      <c r="AP4" s="6">
        <v>35.449528338895</v>
      </c>
      <c r="AQ4" s="6">
        <v>45.029929030242101</v>
      </c>
      <c r="AR4" s="6">
        <v>43.8231013036863</v>
      </c>
      <c r="AS4" s="6">
        <v>43.910730422867999</v>
      </c>
      <c r="AT4" s="6">
        <v>33.558560966436502</v>
      </c>
      <c r="AU4" s="6">
        <v>39.419186973874197</v>
      </c>
      <c r="AV4" s="6">
        <v>41.142707618883897</v>
      </c>
      <c r="AW4" s="6">
        <v>40.175504014046403</v>
      </c>
      <c r="AX4" s="6">
        <v>44.576542298190603</v>
      </c>
      <c r="AY4" s="6">
        <v>42.107203874089102</v>
      </c>
      <c r="AZ4" s="6">
        <v>40.554985020563002</v>
      </c>
      <c r="BA4" s="6">
        <v>40.117131297273502</v>
      </c>
      <c r="BB4" s="6">
        <v>42.500028848781703</v>
      </c>
      <c r="BC4" s="6">
        <v>46.311767661782703</v>
      </c>
      <c r="BD4" s="6">
        <v>38.902866705171199</v>
      </c>
      <c r="BE4" s="6">
        <v>42.9066377042139</v>
      </c>
      <c r="BF4" s="6">
        <v>41.798482281614397</v>
      </c>
      <c r="BG4" s="6">
        <v>42.694169419147002</v>
      </c>
      <c r="BH4" s="6">
        <v>43.280809049810102</v>
      </c>
      <c r="BI4" s="6">
        <v>39.820191875241598</v>
      </c>
      <c r="BJ4" s="6">
        <v>41.054244088021903</v>
      </c>
      <c r="BK4" s="6">
        <v>43.186312839567698</v>
      </c>
      <c r="BL4" s="6">
        <v>44.247369164740199</v>
      </c>
      <c r="BM4" s="6">
        <v>39.446212912281801</v>
      </c>
      <c r="BN4" s="6">
        <v>41.190997320107897</v>
      </c>
      <c r="BO4" s="6">
        <v>40.914781554067197</v>
      </c>
      <c r="BP4" s="6">
        <v>39.549879800456097</v>
      </c>
      <c r="BQ4" s="6">
        <v>40.919489107452101</v>
      </c>
      <c r="BR4" s="6">
        <v>40.521733101289101</v>
      </c>
      <c r="BS4" s="6">
        <v>42.436106430772803</v>
      </c>
      <c r="BT4" s="6">
        <v>39.735121347500097</v>
      </c>
      <c r="BU4" s="6">
        <v>41.758688315464603</v>
      </c>
      <c r="BV4" s="6">
        <v>42.4368285099874</v>
      </c>
      <c r="BW4" s="6">
        <v>39.628236302858298</v>
      </c>
      <c r="BX4" s="6">
        <v>42.640308800902098</v>
      </c>
      <c r="BY4" s="6">
        <v>43.145620267576</v>
      </c>
      <c r="BZ4" s="6">
        <v>42.147591049963303</v>
      </c>
      <c r="CA4" s="6">
        <v>43.228071214147697</v>
      </c>
      <c r="CB4" s="6">
        <v>43.484444708363398</v>
      </c>
      <c r="CC4" s="6">
        <v>40.259295827106797</v>
      </c>
      <c r="CD4" s="6">
        <v>38.008412133305001</v>
      </c>
      <c r="CE4" s="6">
        <v>54.589592651632401</v>
      </c>
      <c r="CF4" s="6">
        <v>45.8122081783903</v>
      </c>
      <c r="CG4" s="6">
        <v>42.054434427201798</v>
      </c>
      <c r="CH4" s="6">
        <v>47.006057498675197</v>
      </c>
      <c r="CI4" s="6">
        <v>40.659853376789997</v>
      </c>
      <c r="CJ4" s="6">
        <v>40.428327241973697</v>
      </c>
      <c r="CK4" s="6">
        <v>43.724660539899602</v>
      </c>
      <c r="CL4" s="6">
        <v>42.3410748052667</v>
      </c>
      <c r="CM4" s="6">
        <v>44.602843136218603</v>
      </c>
      <c r="CN4" s="6">
        <v>45.777000634413497</v>
      </c>
      <c r="CO4" s="6">
        <v>42.933462996528299</v>
      </c>
      <c r="CP4" s="6">
        <v>43.366179051068301</v>
      </c>
      <c r="CQ4" s="6">
        <v>41.555737614056</v>
      </c>
      <c r="CR4" s="6">
        <v>38.560661206101102</v>
      </c>
      <c r="CS4" s="6">
        <v>40.948512570660696</v>
      </c>
      <c r="CT4" s="6">
        <v>42.149448739471602</v>
      </c>
      <c r="CU4" s="6">
        <v>40.822312203498797</v>
      </c>
      <c r="CV4" s="6">
        <v>44.861549941108301</v>
      </c>
      <c r="CW4" s="6">
        <v>44.211976073675302</v>
      </c>
      <c r="CX4" s="6">
        <v>41.104914952297499</v>
      </c>
      <c r="CY4" s="6">
        <v>39.4082375608711</v>
      </c>
      <c r="CZ4" s="6">
        <v>39.721537393380999</v>
      </c>
      <c r="DA4" s="6">
        <v>41.947560868056897</v>
      </c>
      <c r="DB4" s="6">
        <v>43.680854395098002</v>
      </c>
      <c r="DC4" s="6">
        <v>42.151182883349897</v>
      </c>
      <c r="DD4" s="6">
        <v>42.043818480081597</v>
      </c>
      <c r="DE4" s="6">
        <v>42.311944286019497</v>
      </c>
      <c r="DF4" s="6">
        <v>38.570578678775703</v>
      </c>
      <c r="DG4" s="6">
        <v>40.7966671273213</v>
      </c>
      <c r="DH4" s="6">
        <v>43.982764448438203</v>
      </c>
      <c r="DI4" s="6">
        <v>44.032108283381</v>
      </c>
      <c r="DJ4" s="6">
        <v>40.941190699859099</v>
      </c>
      <c r="DK4" s="6">
        <v>42.231431183736298</v>
      </c>
      <c r="DL4" s="6">
        <v>36.309349471372101</v>
      </c>
      <c r="DM4" s="6">
        <v>42.757494577903898</v>
      </c>
      <c r="DN4" s="6">
        <v>42.676244761058101</v>
      </c>
      <c r="DO4" s="6">
        <v>39.121209475017899</v>
      </c>
      <c r="DP4" s="6">
        <v>41.675909250047098</v>
      </c>
      <c r="DQ4" s="6">
        <v>41.878959126240403</v>
      </c>
      <c r="DR4" s="6">
        <v>40.232107461722002</v>
      </c>
      <c r="DS4" s="6">
        <v>40.067044407629901</v>
      </c>
      <c r="DT4" s="6">
        <v>41.676961151633101</v>
      </c>
      <c r="DU4" s="6">
        <v>41.107784308767897</v>
      </c>
      <c r="DV4" s="6">
        <v>43.689166569519998</v>
      </c>
      <c r="DW4" s="6">
        <v>40.479471279034101</v>
      </c>
      <c r="DX4" s="6">
        <v>38.289202035597199</v>
      </c>
      <c r="DY4" s="6">
        <v>42.1244381209859</v>
      </c>
      <c r="DZ4" s="6">
        <v>39.147624154515</v>
      </c>
      <c r="EA4" s="6">
        <v>41.674016093433998</v>
      </c>
      <c r="EB4" s="6">
        <v>41.191439050305299</v>
      </c>
      <c r="EC4" s="6">
        <v>42.653204875689497</v>
      </c>
      <c r="ED4" s="6">
        <v>39.272964494469797</v>
      </c>
      <c r="EE4" s="6">
        <v>44.3079276819144</v>
      </c>
      <c r="EF4" s="6">
        <v>41.1667194095375</v>
      </c>
      <c r="EG4" s="6">
        <v>41.368348994695097</v>
      </c>
      <c r="EH4" s="6">
        <v>42.1068301106802</v>
      </c>
      <c r="EI4" s="6">
        <v>40.792160664888101</v>
      </c>
      <c r="EJ4" s="6">
        <v>41.509527861551</v>
      </c>
      <c r="EK4" s="6">
        <v>41.603527660848499</v>
      </c>
      <c r="EL4" s="6">
        <v>40.884172775877502</v>
      </c>
      <c r="EM4" s="6">
        <v>41.069741671120802</v>
      </c>
      <c r="EN4" s="6">
        <v>40.048457584045899</v>
      </c>
      <c r="EO4" s="6">
        <v>41.4062210623837</v>
      </c>
      <c r="EP4" s="6">
        <v>41.148819284284201</v>
      </c>
      <c r="EQ4" s="6">
        <v>36.714332791491799</v>
      </c>
      <c r="ER4" s="6">
        <v>42.435997252120401</v>
      </c>
      <c r="ES4" s="6">
        <v>39.765282621284797</v>
      </c>
      <c r="ET4" s="6">
        <v>36.107453416858299</v>
      </c>
      <c r="EU4" s="6">
        <v>41.2695678528939</v>
      </c>
      <c r="EV4" s="6">
        <v>43.086018760005501</v>
      </c>
      <c r="EW4" s="6">
        <v>38.554342459757599</v>
      </c>
      <c r="EX4" s="6">
        <v>39.708653840942802</v>
      </c>
      <c r="EY4" s="6">
        <v>46.181105225102101</v>
      </c>
      <c r="EZ4" s="6">
        <v>42.902376368393298</v>
      </c>
      <c r="FA4" s="6">
        <v>39.106338601623698</v>
      </c>
      <c r="FB4" s="6">
        <v>50.630834868523102</v>
      </c>
      <c r="FC4" s="6">
        <v>43.555089725220299</v>
      </c>
      <c r="FD4" s="6">
        <v>37.683900167009902</v>
      </c>
      <c r="FE4" s="6">
        <v>46.111544270489503</v>
      </c>
      <c r="FF4" s="6">
        <v>43.708538868875799</v>
      </c>
      <c r="FG4" s="6">
        <v>40.651740219995602</v>
      </c>
      <c r="FH4" s="6">
        <v>39.6336817309437</v>
      </c>
      <c r="FI4" s="6">
        <v>40.162951096785001</v>
      </c>
      <c r="FJ4" s="6">
        <v>40.759793554086301</v>
      </c>
      <c r="FK4" s="6">
        <v>39.880123596172503</v>
      </c>
      <c r="FL4" s="6">
        <v>44.998093191010298</v>
      </c>
      <c r="FM4" s="6">
        <v>39.478112630532699</v>
      </c>
      <c r="FN4" s="6">
        <v>42.889897922960401</v>
      </c>
      <c r="FO4" s="6">
        <v>42.318346604038098</v>
      </c>
      <c r="FP4" s="6">
        <v>43.192039370183998</v>
      </c>
      <c r="FQ4" s="6">
        <v>41.635524899720103</v>
      </c>
      <c r="FR4" s="6">
        <v>41.458578070273603</v>
      </c>
      <c r="FS4" s="6">
        <v>43.974673583269499</v>
      </c>
      <c r="FT4" s="6">
        <v>41.284624451876098</v>
      </c>
      <c r="FU4" s="6">
        <v>42.605308099335502</v>
      </c>
      <c r="FV4" s="6">
        <v>44.946811918293498</v>
      </c>
      <c r="FW4" s="6">
        <v>39.281054185315398</v>
      </c>
      <c r="FX4" s="6">
        <v>43.427864283823297</v>
      </c>
      <c r="FY4" s="6">
        <v>44.370336104070503</v>
      </c>
      <c r="FZ4" s="6">
        <v>43.517028226116402</v>
      </c>
      <c r="GA4" s="6">
        <v>43.6444454748803</v>
      </c>
      <c r="GB4" s="6">
        <v>45.489302074508501</v>
      </c>
      <c r="GC4" s="6">
        <v>41.921857431056601</v>
      </c>
      <c r="GD4" s="6">
        <v>43.629569916874701</v>
      </c>
      <c r="GE4" s="6">
        <v>37.948652007827299</v>
      </c>
      <c r="GF4" s="6">
        <v>42.049438752164299</v>
      </c>
      <c r="GG4" s="6">
        <v>38.772714082882104</v>
      </c>
      <c r="GH4" s="6">
        <v>45.474113061930602</v>
      </c>
      <c r="GI4" s="6">
        <v>41.430821603400297</v>
      </c>
      <c r="GJ4" s="6">
        <v>40.9367898330676</v>
      </c>
      <c r="GK4" s="6">
        <v>38.857903102398602</v>
      </c>
      <c r="GL4" s="6">
        <v>42.637701445654201</v>
      </c>
      <c r="GM4" s="6">
        <v>41.373545434051501</v>
      </c>
      <c r="GN4" s="6">
        <v>43.478118089439498</v>
      </c>
      <c r="GO4" s="6">
        <v>40.642036406514698</v>
      </c>
      <c r="GP4" s="6">
        <v>42.181447865221202</v>
      </c>
      <c r="GQ4" s="6">
        <v>38.355084923178602</v>
      </c>
      <c r="GR4" s="6">
        <v>44.187111702682401</v>
      </c>
      <c r="GS4" s="6">
        <v>29.9844457073463</v>
      </c>
      <c r="GT4" s="6">
        <v>44.224248070586</v>
      </c>
      <c r="GU4" s="6">
        <v>41.136975151614003</v>
      </c>
      <c r="GV4" s="6">
        <v>40.964285824564797</v>
      </c>
      <c r="GW4" s="6">
        <v>43.317352438764701</v>
      </c>
      <c r="GX4" s="6">
        <v>40.078456035704797</v>
      </c>
      <c r="GY4" s="6">
        <v>40.564464344572798</v>
      </c>
      <c r="GZ4" s="6">
        <v>43.034025246128998</v>
      </c>
      <c r="HA4" s="6">
        <v>44.365474399647098</v>
      </c>
      <c r="HB4" s="6">
        <v>41.670591680471198</v>
      </c>
      <c r="HC4" s="6">
        <v>45.087135201431202</v>
      </c>
      <c r="HD4" s="6">
        <v>46.615529211275202</v>
      </c>
      <c r="HE4" s="6">
        <v>42.3535389710866</v>
      </c>
      <c r="HF4" s="6">
        <v>40.395643921551397</v>
      </c>
      <c r="HG4" s="6">
        <v>42.4344871975063</v>
      </c>
      <c r="HH4" s="6">
        <v>38.401440021619003</v>
      </c>
      <c r="HI4" s="6">
        <v>39.811097302321599</v>
      </c>
      <c r="HJ4" s="6">
        <v>42.543276545642598</v>
      </c>
      <c r="HK4" s="6">
        <v>43.360279044380697</v>
      </c>
      <c r="HL4" s="6">
        <v>39.029993762881404</v>
      </c>
      <c r="HM4" s="6">
        <v>37.9877584368868</v>
      </c>
      <c r="HN4" s="6">
        <v>41.885419553959103</v>
      </c>
      <c r="HO4" s="6">
        <v>40.048465891126703</v>
      </c>
      <c r="HP4" s="6">
        <v>45.945934764436899</v>
      </c>
      <c r="HQ4" s="6">
        <v>42.041634516175897</v>
      </c>
      <c r="HR4" s="6">
        <v>44.975222511011701</v>
      </c>
      <c r="HS4" s="6">
        <v>45.599543041053003</v>
      </c>
      <c r="HT4" s="6">
        <v>41.240266510887103</v>
      </c>
      <c r="HU4" s="6">
        <v>40.599458700051102</v>
      </c>
      <c r="HV4" s="6">
        <v>39.644644892902797</v>
      </c>
      <c r="HW4" s="6">
        <v>45.765653822616002</v>
      </c>
      <c r="HX4" s="6">
        <v>38.519385803621503</v>
      </c>
      <c r="HY4" s="6">
        <v>44.005717047026799</v>
      </c>
      <c r="HZ4" s="6">
        <v>40.251203771519798</v>
      </c>
      <c r="IA4" s="6">
        <v>43.782178446944002</v>
      </c>
      <c r="IB4" s="6">
        <v>37.562683665353099</v>
      </c>
      <c r="IC4" s="6">
        <v>42.123157333031003</v>
      </c>
      <c r="ID4" s="6">
        <v>41.261936427451502</v>
      </c>
      <c r="IE4" s="6">
        <v>42.774319917371002</v>
      </c>
      <c r="IF4" s="6">
        <v>42.886184769245403</v>
      </c>
      <c r="IG4" s="6">
        <v>47.562068979009602</v>
      </c>
      <c r="IH4" s="6">
        <v>39.147396638656602</v>
      </c>
      <c r="II4" s="6">
        <v>39.884085303730799</v>
      </c>
      <c r="IJ4" s="6">
        <v>41.6088924649356</v>
      </c>
      <c r="IK4" s="6">
        <v>45.599312353238297</v>
      </c>
      <c r="IL4" s="6">
        <v>42.508507140688799</v>
      </c>
      <c r="IM4" s="6">
        <v>41.928965201394099</v>
      </c>
      <c r="IN4" s="6">
        <v>38.621263688911696</v>
      </c>
      <c r="IO4" s="6">
        <v>39.266381366093199</v>
      </c>
      <c r="IP4" s="6">
        <v>37.3045231714868</v>
      </c>
      <c r="IQ4" s="6">
        <v>41.261078222358996</v>
      </c>
      <c r="IR4" s="6">
        <v>41.681491397918499</v>
      </c>
      <c r="IS4" s="6">
        <v>42.3753096781764</v>
      </c>
      <c r="IT4" s="6">
        <v>39.946786098737199</v>
      </c>
      <c r="IU4" s="6">
        <v>40.170208492394799</v>
      </c>
      <c r="IV4" s="6">
        <v>40.099669949030698</v>
      </c>
      <c r="IW4" s="6">
        <v>43.893219984163402</v>
      </c>
      <c r="IX4" s="6">
        <v>41.753236727234899</v>
      </c>
      <c r="IY4" s="6">
        <v>45.795910607312102</v>
      </c>
      <c r="IZ4" s="6">
        <v>37.427580136862602</v>
      </c>
      <c r="JA4" s="6">
        <v>43.664493978030599</v>
      </c>
      <c r="JB4" s="6">
        <v>42.805119177765803</v>
      </c>
      <c r="JC4" s="6">
        <v>42.029425927475998</v>
      </c>
      <c r="JD4" s="6">
        <v>41.463305760030899</v>
      </c>
      <c r="JE4" s="6">
        <v>44.967744388788802</v>
      </c>
      <c r="JF4" s="6">
        <v>43.754305376180497</v>
      </c>
      <c r="JG4" s="6">
        <v>43.284579752304197</v>
      </c>
      <c r="JH4" s="6">
        <v>42.576017202231299</v>
      </c>
      <c r="JI4" s="6">
        <v>41.524852306759698</v>
      </c>
      <c r="JJ4" s="6">
        <v>43.979823462944701</v>
      </c>
      <c r="JK4" s="6">
        <v>40.731046291222903</v>
      </c>
      <c r="JL4" s="6">
        <v>38.1263478413019</v>
      </c>
      <c r="JM4" s="6">
        <v>39.5014519780566</v>
      </c>
      <c r="JN4" s="6">
        <v>38.145125563528502</v>
      </c>
      <c r="JO4" s="6">
        <v>41.071077984875302</v>
      </c>
      <c r="JP4" s="6">
        <v>40.772375951342802</v>
      </c>
      <c r="JQ4" s="6">
        <v>43.219860822341303</v>
      </c>
      <c r="JR4" s="6">
        <v>44.808565489748297</v>
      </c>
      <c r="JS4" s="6">
        <v>43.060097147450101</v>
      </c>
      <c r="JT4" s="6">
        <v>43.546945254840601</v>
      </c>
      <c r="JU4" s="6">
        <v>41.000024747164503</v>
      </c>
      <c r="JV4" s="6">
        <v>42.411697865775203</v>
      </c>
      <c r="JW4" s="6">
        <v>37.762219643430903</v>
      </c>
      <c r="JX4" s="6">
        <v>40.755888328965298</v>
      </c>
      <c r="JY4" s="6">
        <v>41.4595326624558</v>
      </c>
      <c r="JZ4" s="6">
        <v>43.039260757649203</v>
      </c>
      <c r="KA4" s="6">
        <v>42.169430336174401</v>
      </c>
      <c r="KB4" s="6">
        <v>41.6748714856802</v>
      </c>
      <c r="KC4" s="6">
        <v>42.879824190582802</v>
      </c>
      <c r="KD4" s="6">
        <v>43.204196595637299</v>
      </c>
      <c r="KE4" s="6">
        <v>41.736622244915601</v>
      </c>
      <c r="KF4" s="6">
        <v>45.880804331667598</v>
      </c>
      <c r="KG4" s="6">
        <v>40.071543951109803</v>
      </c>
      <c r="KH4" s="6">
        <v>44.4607074164823</v>
      </c>
      <c r="KI4" s="6">
        <v>45.044779979487402</v>
      </c>
      <c r="KJ4" s="6">
        <v>42.3739927185959</v>
      </c>
      <c r="KK4" s="6">
        <v>38.124785602769599</v>
      </c>
      <c r="KL4" s="6">
        <v>44.6308053771834</v>
      </c>
      <c r="KM4" s="6">
        <v>39.3783595700476</v>
      </c>
      <c r="KN4" s="6">
        <v>41.362045378279198</v>
      </c>
      <c r="KO4" s="6">
        <v>49.1377286816845</v>
      </c>
      <c r="KP4" s="6">
        <v>42.846519495442699</v>
      </c>
      <c r="KQ4" s="6">
        <v>46.400332312021703</v>
      </c>
      <c r="KR4" s="6">
        <v>44.207360039284403</v>
      </c>
      <c r="KS4" s="6">
        <v>46.303860222504298</v>
      </c>
      <c r="KT4" s="6">
        <v>38.082644011023902</v>
      </c>
      <c r="KU4" s="6">
        <v>41.355468727893999</v>
      </c>
      <c r="KV4" s="6">
        <v>46.413681597663697</v>
      </c>
      <c r="KW4" s="6">
        <v>39.504068534311898</v>
      </c>
      <c r="KX4" s="6">
        <v>41.900597426787797</v>
      </c>
      <c r="KY4" s="6">
        <v>40.799093930155998</v>
      </c>
      <c r="KZ4" s="6">
        <v>39.554889579541403</v>
      </c>
      <c r="LA4" s="6">
        <v>46.038614836746198</v>
      </c>
      <c r="LB4" s="6">
        <v>45.291681908009501</v>
      </c>
      <c r="LC4" s="6">
        <v>40.4833644075769</v>
      </c>
      <c r="LD4" s="6">
        <v>44.181677308007004</v>
      </c>
      <c r="LE4" s="6">
        <v>40.672308693737797</v>
      </c>
      <c r="LF4" s="6">
        <v>38.367072321945997</v>
      </c>
      <c r="LG4" s="6">
        <v>40.367434784860798</v>
      </c>
      <c r="LH4" s="6">
        <v>37.020996152831501</v>
      </c>
      <c r="LI4" s="6">
        <v>39.913656027153998</v>
      </c>
      <c r="LJ4" s="6">
        <v>45.047510439738097</v>
      </c>
      <c r="LK4" s="6">
        <v>37.6932543141059</v>
      </c>
      <c r="LL4" s="6">
        <v>42.514003840527302</v>
      </c>
      <c r="LM4" s="6">
        <v>44.246141816561902</v>
      </c>
      <c r="LN4" s="6">
        <v>43.490014469351003</v>
      </c>
      <c r="LO4" s="6">
        <v>44.227340864466299</v>
      </c>
      <c r="LP4" s="6">
        <v>36.829900200951599</v>
      </c>
      <c r="LQ4" s="6">
        <v>37.7145413201401</v>
      </c>
      <c r="LR4" s="6">
        <v>42.826920622451802</v>
      </c>
      <c r="LS4" s="6">
        <v>44.705271964014003</v>
      </c>
      <c r="LT4" s="6">
        <v>45.0255673993153</v>
      </c>
      <c r="LU4" s="6">
        <v>44.682512603183099</v>
      </c>
      <c r="LV4" s="6">
        <v>42.9115818891309</v>
      </c>
      <c r="LW4" s="6">
        <v>42.664210730374897</v>
      </c>
      <c r="LX4" s="6">
        <v>43.934969022078</v>
      </c>
      <c r="LY4" s="6">
        <v>43.340446648994501</v>
      </c>
      <c r="LZ4" s="6">
        <v>40.767562803716999</v>
      </c>
      <c r="MA4" s="6">
        <v>42.917039803951099</v>
      </c>
      <c r="MB4" s="6">
        <v>42.830043690042402</v>
      </c>
      <c r="MC4" s="6">
        <v>39.1891654072368</v>
      </c>
      <c r="MD4" s="6">
        <v>44.4753490892139</v>
      </c>
      <c r="ME4" s="6">
        <v>40.795166443680003</v>
      </c>
      <c r="MF4" s="6">
        <v>45.494935842681201</v>
      </c>
      <c r="MG4" s="6">
        <v>41.748939345190998</v>
      </c>
      <c r="MH4" s="6">
        <v>42.410051930538302</v>
      </c>
      <c r="MI4" s="6">
        <v>45.332367585691202</v>
      </c>
      <c r="MJ4" s="6">
        <v>41.436061647956898</v>
      </c>
      <c r="MK4" s="6">
        <v>43.846106697940002</v>
      </c>
      <c r="ML4" s="6">
        <v>37.798638623560301</v>
      </c>
      <c r="MM4" s="6">
        <v>45.687762146911901</v>
      </c>
      <c r="MN4" s="6">
        <v>38.854077204700097</v>
      </c>
      <c r="MO4" s="6">
        <v>45.0549148323366</v>
      </c>
      <c r="MP4" s="6">
        <v>38.614871028085297</v>
      </c>
      <c r="MQ4" s="6">
        <v>40.707999519022003</v>
      </c>
      <c r="MR4" s="6">
        <v>40.9422958472584</v>
      </c>
      <c r="MS4" s="6">
        <v>37.730634337799103</v>
      </c>
      <c r="MT4" s="6">
        <v>41.779637177284201</v>
      </c>
      <c r="MU4" s="6">
        <v>43.888435881428997</v>
      </c>
      <c r="MV4" s="6">
        <v>41.258907934227601</v>
      </c>
      <c r="MW4" s="6">
        <v>38.288335416450401</v>
      </c>
      <c r="MX4" s="6">
        <v>46.421614585959098</v>
      </c>
      <c r="MY4" s="6">
        <v>43.327622590970002</v>
      </c>
      <c r="MZ4" s="6">
        <v>42.083627436737601</v>
      </c>
      <c r="NA4" s="6">
        <v>40.6280480304139</v>
      </c>
      <c r="NB4" s="6">
        <v>41.729261268283501</v>
      </c>
      <c r="NC4" s="6">
        <v>38.3342512246886</v>
      </c>
      <c r="ND4" s="6">
        <v>42.2195444226167</v>
      </c>
      <c r="NE4" s="6">
        <v>40.322269161958999</v>
      </c>
      <c r="NF4" s="6">
        <v>41.862259812130702</v>
      </c>
      <c r="NG4" s="6">
        <v>38.726046291733802</v>
      </c>
      <c r="NH4" s="6">
        <v>37.463930707974299</v>
      </c>
      <c r="NI4" s="6">
        <v>39.927715128147398</v>
      </c>
      <c r="NJ4" s="6">
        <v>41.639974331425996</v>
      </c>
      <c r="NK4" s="6">
        <v>40.863413970200398</v>
      </c>
      <c r="NL4" s="6">
        <v>40.729646946232002</v>
      </c>
      <c r="NM4" s="6">
        <v>42.832232746986001</v>
      </c>
      <c r="NN4" s="6">
        <v>48.733153478476602</v>
      </c>
      <c r="NO4" s="6">
        <v>42.147087892289598</v>
      </c>
      <c r="NP4" s="6">
        <v>37.636059625239902</v>
      </c>
      <c r="NQ4" s="6">
        <v>38.455803819179401</v>
      </c>
      <c r="NR4" s="6">
        <v>41.829476690984102</v>
      </c>
      <c r="NS4" s="6">
        <v>42.368232468532703</v>
      </c>
      <c r="NT4" s="6">
        <v>45.220889810408899</v>
      </c>
      <c r="NU4" s="6">
        <v>40.752901804717801</v>
      </c>
      <c r="NV4" s="6">
        <v>42.8405052408011</v>
      </c>
      <c r="NW4" s="6">
        <v>40.487781191990699</v>
      </c>
      <c r="NX4" s="6">
        <v>39.613152525685898</v>
      </c>
      <c r="NY4" s="6">
        <v>42.205550248353603</v>
      </c>
      <c r="NZ4" s="6">
        <v>41.501992667318397</v>
      </c>
      <c r="OA4" s="6">
        <v>43.509908672454898</v>
      </c>
      <c r="OB4" s="6">
        <v>41.806969957131102</v>
      </c>
      <c r="OC4" s="6">
        <v>44.468980545706202</v>
      </c>
      <c r="OD4" s="6">
        <v>45.575838864362197</v>
      </c>
      <c r="OE4" s="6">
        <v>44.066104191895803</v>
      </c>
      <c r="OF4" s="6">
        <v>38.175128923585298</v>
      </c>
      <c r="OG4" s="6">
        <v>44.627951661210602</v>
      </c>
      <c r="OH4" s="6">
        <v>44.240979593490998</v>
      </c>
      <c r="OI4" s="6">
        <v>43.411772700887902</v>
      </c>
      <c r="OJ4" s="6">
        <v>40.514265660402103</v>
      </c>
      <c r="OK4" s="6">
        <v>48.080217522007501</v>
      </c>
      <c r="OL4" s="6">
        <v>39.729736938525399</v>
      </c>
      <c r="OM4" s="6">
        <v>39.946929723257099</v>
      </c>
      <c r="ON4" s="6">
        <v>45.027560036033798</v>
      </c>
      <c r="OO4" s="6">
        <v>36.432966665338299</v>
      </c>
      <c r="OP4" s="6">
        <v>43.025067204004003</v>
      </c>
      <c r="OQ4" s="6">
        <v>38.760741812442603</v>
      </c>
      <c r="OR4" s="6">
        <v>42.853609791318497</v>
      </c>
      <c r="OS4" s="6">
        <v>45.645058986488799</v>
      </c>
      <c r="OT4" s="6">
        <v>43.992116321898401</v>
      </c>
      <c r="OU4" s="6">
        <v>44.471124408728699</v>
      </c>
      <c r="OV4" s="6">
        <v>42.874103064473402</v>
      </c>
      <c r="OW4" s="6">
        <v>40.4326480545405</v>
      </c>
      <c r="OX4" s="6">
        <v>41.212206361499298</v>
      </c>
      <c r="OY4" s="6">
        <v>38.558355988290302</v>
      </c>
      <c r="OZ4" s="6">
        <v>43.660919110845001</v>
      </c>
      <c r="PA4" s="6">
        <v>42.1616519281501</v>
      </c>
      <c r="PB4" s="6">
        <v>44.012538236794498</v>
      </c>
      <c r="PC4" s="6">
        <v>43.015973800917799</v>
      </c>
      <c r="PD4" s="6">
        <v>43.107192232306197</v>
      </c>
      <c r="PE4" s="6">
        <v>40.916518479081901</v>
      </c>
      <c r="PF4" s="6">
        <v>41.338545757034403</v>
      </c>
      <c r="PG4" s="6">
        <v>42.275914376083499</v>
      </c>
      <c r="PH4" s="6">
        <v>44.604463536605699</v>
      </c>
      <c r="PI4" s="6">
        <v>40.624380738003602</v>
      </c>
      <c r="PJ4" s="6">
        <v>40.183307213882102</v>
      </c>
      <c r="PK4" s="6">
        <v>42.589904765478302</v>
      </c>
      <c r="PL4" s="6">
        <v>41.048168753877597</v>
      </c>
      <c r="PM4" s="6">
        <v>41.592294052597602</v>
      </c>
      <c r="PN4" s="6">
        <v>45.445666218363598</v>
      </c>
      <c r="PO4" s="6">
        <v>41.420842515506003</v>
      </c>
      <c r="PP4" s="6">
        <v>45.430045075479399</v>
      </c>
      <c r="PQ4" s="6">
        <v>46.842248181183699</v>
      </c>
      <c r="PR4" s="6">
        <v>39.302353860522899</v>
      </c>
      <c r="PS4" s="6">
        <v>39.991058489114103</v>
      </c>
      <c r="PT4" s="6">
        <v>42.734318691272797</v>
      </c>
      <c r="PU4" s="6">
        <v>41.479501265497198</v>
      </c>
      <c r="PV4" s="6">
        <v>38.316238005617997</v>
      </c>
      <c r="PW4" s="6">
        <v>41.443044864589702</v>
      </c>
      <c r="PX4" s="6">
        <v>43.196120580220501</v>
      </c>
      <c r="PY4" s="6">
        <v>40.038611192010102</v>
      </c>
      <c r="PZ4" s="6">
        <v>43.974010233675401</v>
      </c>
      <c r="QA4" s="6">
        <v>40.300770418454903</v>
      </c>
      <c r="QB4" s="6">
        <v>40.379365356132098</v>
      </c>
      <c r="QC4" s="6">
        <v>41.923060421209399</v>
      </c>
      <c r="QD4" s="6">
        <v>39.033294311696501</v>
      </c>
      <c r="QE4" s="6">
        <v>45.854059585998101</v>
      </c>
      <c r="QF4" s="6">
        <v>43.620898637283503</v>
      </c>
      <c r="QG4" s="6">
        <v>39.692748022854197</v>
      </c>
      <c r="QH4" s="6">
        <v>45.297788144379801</v>
      </c>
      <c r="QI4" s="6">
        <v>41.582425234556503</v>
      </c>
      <c r="QJ4" s="6">
        <v>-813.01632955929495</v>
      </c>
      <c r="QK4" s="6">
        <v>44.779042270109599</v>
      </c>
      <c r="QL4" s="6">
        <v>41.973748841776803</v>
      </c>
      <c r="QM4" s="6">
        <v>44.757061510306102</v>
      </c>
      <c r="QN4" s="6">
        <v>43.199764159052201</v>
      </c>
      <c r="QO4" s="6">
        <v>44.017282556307599</v>
      </c>
      <c r="QP4" s="6">
        <v>41.056676119886298</v>
      </c>
      <c r="QQ4" s="6">
        <v>41.739849973642102</v>
      </c>
      <c r="QR4" s="6">
        <v>42.382976695254698</v>
      </c>
      <c r="QS4" s="6">
        <v>41.124995017710297</v>
      </c>
      <c r="QT4" s="6">
        <v>41.4968921543623</v>
      </c>
      <c r="QU4" s="6">
        <v>40.439965306866398</v>
      </c>
      <c r="QV4" s="6">
        <v>38.953467892412299</v>
      </c>
      <c r="QW4" s="6">
        <v>39.864769030558897</v>
      </c>
      <c r="QX4" s="6">
        <v>40.995274056135202</v>
      </c>
      <c r="QY4" s="6">
        <v>43.927803089212098</v>
      </c>
      <c r="QZ4" s="6">
        <v>44.528727256907501</v>
      </c>
      <c r="RA4" s="6">
        <v>43.167257406087003</v>
      </c>
      <c r="RB4" s="6">
        <v>39.908038612239501</v>
      </c>
      <c r="RC4" s="6">
        <v>39.397717541421102</v>
      </c>
      <c r="RD4" s="6">
        <v>39.851539585400602</v>
      </c>
      <c r="RE4" s="6">
        <v>49.508171695233997</v>
      </c>
      <c r="RF4" s="6">
        <v>41.005397610864698</v>
      </c>
      <c r="RG4" s="6">
        <v>38.956515685257301</v>
      </c>
      <c r="RH4" s="6">
        <v>39.269169289327699</v>
      </c>
      <c r="RI4" s="6">
        <v>38.0032386359564</v>
      </c>
      <c r="RJ4" s="6">
        <v>39.707130243168102</v>
      </c>
      <c r="RK4" s="6">
        <v>45.626203567323202</v>
      </c>
      <c r="RL4" s="6">
        <v>42.6666978317161</v>
      </c>
      <c r="RM4" s="6">
        <v>40.964041725619602</v>
      </c>
      <c r="RN4" s="6">
        <v>37.842244518720001</v>
      </c>
      <c r="RO4" s="6">
        <v>40.517106286706998</v>
      </c>
      <c r="RP4" s="6">
        <v>44.888732848270301</v>
      </c>
      <c r="RQ4" s="6">
        <v>42.466916253725003</v>
      </c>
      <c r="RR4" s="6">
        <v>40.089788978589603</v>
      </c>
      <c r="RS4" s="6">
        <v>42.054698562351703</v>
      </c>
      <c r="RT4" s="6">
        <v>47.336474356369102</v>
      </c>
      <c r="RU4" s="6">
        <v>45.430479853373697</v>
      </c>
      <c r="RV4" s="6">
        <v>40.378648184646799</v>
      </c>
      <c r="RW4" s="6">
        <v>39.926991805440501</v>
      </c>
      <c r="RX4" s="6">
        <v>38.945402812401298</v>
      </c>
      <c r="RY4" s="6">
        <v>40.2249803645811</v>
      </c>
      <c r="RZ4" s="6">
        <v>40.5601823844937</v>
      </c>
      <c r="SA4" s="6">
        <v>41.808316522969797</v>
      </c>
      <c r="SB4" s="6">
        <v>41.603832741982202</v>
      </c>
      <c r="SC4" s="6">
        <v>40.962569832346503</v>
      </c>
      <c r="SD4" s="6">
        <v>43.534396657404201</v>
      </c>
      <c r="SE4" s="6">
        <v>43.960758141674198</v>
      </c>
      <c r="SF4" s="6">
        <v>40.702914043557897</v>
      </c>
      <c r="SG4" s="6">
        <v>40.725418921889499</v>
      </c>
      <c r="SH4" s="6">
        <v>41.594421105715298</v>
      </c>
      <c r="SI4" s="6">
        <v>43.734274024488698</v>
      </c>
      <c r="SJ4" s="6">
        <v>40.539016721867597</v>
      </c>
      <c r="SK4" s="6">
        <v>41.097681396890898</v>
      </c>
      <c r="SL4" s="6">
        <v>40.319128893146697</v>
      </c>
      <c r="SM4" s="6">
        <v>42.533416170393302</v>
      </c>
      <c r="SN4" s="6">
        <v>45.041078969284399</v>
      </c>
      <c r="SO4" s="6">
        <v>43.908782949479601</v>
      </c>
      <c r="SP4" s="6">
        <v>40.086770585222602</v>
      </c>
      <c r="SQ4" s="6">
        <v>41.057469606317298</v>
      </c>
      <c r="SR4" s="6">
        <v>43.233947460678301</v>
      </c>
      <c r="SS4" s="6">
        <v>84.142589712525606</v>
      </c>
      <c r="ST4" s="6">
        <v>41.024513955340304</v>
      </c>
      <c r="SU4" s="6">
        <v>44.898095362225099</v>
      </c>
      <c r="SV4" s="6">
        <v>38.377328910403698</v>
      </c>
      <c r="SW4" s="6">
        <v>39.547200265083802</v>
      </c>
      <c r="SX4" s="6">
        <v>45.411201227238202</v>
      </c>
      <c r="SY4" s="6">
        <v>40.220548959151998</v>
      </c>
      <c r="SZ4" s="6">
        <v>41.758302724469303</v>
      </c>
      <c r="TA4" s="6">
        <v>39.110490211284002</v>
      </c>
      <c r="TB4" s="6">
        <v>43.094883778210203</v>
      </c>
      <c r="TC4" s="6">
        <v>42.727476758271301</v>
      </c>
      <c r="TD4" s="6">
        <v>38.785536639883901</v>
      </c>
      <c r="TE4" s="6">
        <v>40.536929225857001</v>
      </c>
      <c r="TF4" s="6">
        <v>39.482791447980397</v>
      </c>
      <c r="TG4" s="6">
        <v>45.215879276418299</v>
      </c>
      <c r="TH4" s="6">
        <v>39.458738446671802</v>
      </c>
      <c r="TI4" s="6">
        <v>43.666007534970703</v>
      </c>
      <c r="TJ4" s="6">
        <v>40.659613239688099</v>
      </c>
      <c r="TK4" s="6">
        <v>39.558951613983503</v>
      </c>
      <c r="TL4" s="6">
        <v>42.165589099887399</v>
      </c>
      <c r="TM4" s="6">
        <v>40.447847257063898</v>
      </c>
      <c r="TN4" s="6">
        <v>42.065362068315501</v>
      </c>
      <c r="TO4" s="6">
        <v>40.7890217523072</v>
      </c>
      <c r="TP4" s="6">
        <v>44.094643109442799</v>
      </c>
      <c r="TQ4" s="6">
        <v>41.384276992001602</v>
      </c>
    </row>
    <row r="5" spans="1:537" ht="57.6" x14ac:dyDescent="0.3">
      <c r="A5" s="14" t="str">
        <f>R2</f>
        <v>95th Percentile Ecoinvent 3.9.1  'cobalt sulfate production' (kilogram, CN, None)</v>
      </c>
      <c r="B5" s="18">
        <f>U21</f>
        <v>21.771854835098782</v>
      </c>
      <c r="C5" s="18">
        <f>U22</f>
        <v>0</v>
      </c>
      <c r="D5" s="18">
        <f>U23</f>
        <v>0</v>
      </c>
      <c r="E5" s="18">
        <f>U24</f>
        <v>12.184030738471231</v>
      </c>
      <c r="F5" s="18">
        <f>U25</f>
        <v>33.955885573570015</v>
      </c>
      <c r="H5" s="23" t="s">
        <v>17</v>
      </c>
      <c r="I5" s="24" t="s">
        <v>18</v>
      </c>
      <c r="J5" s="24" t="s">
        <v>15</v>
      </c>
      <c r="K5" s="25" t="s">
        <v>38</v>
      </c>
      <c r="L5" s="5"/>
      <c r="M5" s="23" t="s">
        <v>17</v>
      </c>
      <c r="N5" s="24" t="s">
        <v>18</v>
      </c>
      <c r="O5" s="24" t="s">
        <v>15</v>
      </c>
      <c r="P5" s="25" t="s">
        <v>38</v>
      </c>
      <c r="Q5" s="5"/>
      <c r="R5" s="23" t="s">
        <v>17</v>
      </c>
      <c r="S5" s="24" t="s">
        <v>18</v>
      </c>
      <c r="T5" s="24" t="s">
        <v>15</v>
      </c>
      <c r="U5" s="25" t="s">
        <v>38</v>
      </c>
      <c r="AF5" s="1" t="s">
        <v>84</v>
      </c>
      <c r="AG5" s="15">
        <f t="shared" si="0"/>
        <v>0.17032752867265799</v>
      </c>
      <c r="AH5" s="16">
        <f t="shared" si="1"/>
        <v>0.22624498742395785</v>
      </c>
      <c r="AI5" s="1">
        <f t="shared" si="2"/>
        <v>1.6306888353559648</v>
      </c>
      <c r="AJ5" s="6">
        <f t="shared" si="3"/>
        <v>1.3529376359956884</v>
      </c>
      <c r="AK5" s="17">
        <f t="shared" si="4"/>
        <v>1.9996240104034635</v>
      </c>
      <c r="AL5" s="1">
        <v>1.4228194520139099</v>
      </c>
      <c r="AM5" s="1">
        <v>1.7638778245932201</v>
      </c>
      <c r="AN5" s="1">
        <v>1.72522557269732</v>
      </c>
      <c r="AO5" s="6">
        <v>1.44153139992184</v>
      </c>
      <c r="AP5" s="6">
        <v>1.59909332213982</v>
      </c>
      <c r="AQ5" s="6">
        <v>1.4358720692160001</v>
      </c>
      <c r="AR5" s="6">
        <v>1.71041671289261</v>
      </c>
      <c r="AS5" s="6">
        <v>1.6958018712265599</v>
      </c>
      <c r="AT5" s="6">
        <v>1.49443517919791</v>
      </c>
      <c r="AU5" s="6">
        <v>1.4717055240967101</v>
      </c>
      <c r="AV5" s="6">
        <v>1.4335862730381399</v>
      </c>
      <c r="AW5" s="6">
        <v>1.26975630640355</v>
      </c>
      <c r="AX5" s="6">
        <v>1.50837308992144</v>
      </c>
      <c r="AY5" s="6">
        <v>1.5998257862687399</v>
      </c>
      <c r="AZ5" s="6">
        <v>1.9537783207662101</v>
      </c>
      <c r="BA5" s="6">
        <v>1.80541586661305</v>
      </c>
      <c r="BB5" s="6">
        <v>1.6302114388018401</v>
      </c>
      <c r="BC5" s="6">
        <v>1.8950003331148999</v>
      </c>
      <c r="BD5" s="6">
        <v>1.3668728212649699</v>
      </c>
      <c r="BE5" s="6">
        <v>1.4442810745318999</v>
      </c>
      <c r="BF5" s="6">
        <v>1.7695088884224801</v>
      </c>
      <c r="BG5" s="6">
        <v>1.3687938560550601</v>
      </c>
      <c r="BH5" s="6">
        <v>1.5505685645859899</v>
      </c>
      <c r="BI5" s="6">
        <v>1.49577951392929</v>
      </c>
      <c r="BJ5" s="6">
        <v>1.55916000819259</v>
      </c>
      <c r="BK5" s="6">
        <v>1.43982833742784</v>
      </c>
      <c r="BL5" s="6">
        <v>1.8458452146734601</v>
      </c>
      <c r="BM5" s="6">
        <v>1.49236160904313</v>
      </c>
      <c r="BN5" s="6">
        <v>1.72414387614067</v>
      </c>
      <c r="BO5" s="6">
        <v>1.6325202128515099</v>
      </c>
      <c r="BP5" s="6">
        <v>1.6641296394411</v>
      </c>
      <c r="BQ5" s="6">
        <v>1.50590120903791</v>
      </c>
      <c r="BR5" s="6">
        <v>1.58091032728613</v>
      </c>
      <c r="BS5" s="6">
        <v>1.8569293124197399</v>
      </c>
      <c r="BT5" s="6">
        <v>1.9167865748998101</v>
      </c>
      <c r="BU5" s="6">
        <v>1.4103348960356199</v>
      </c>
      <c r="BV5" s="6">
        <v>1.67037630893147</v>
      </c>
      <c r="BW5" s="6">
        <v>1.54343645915983</v>
      </c>
      <c r="BX5" s="6">
        <v>1.64723145899048</v>
      </c>
      <c r="BY5" s="6">
        <v>1.51460388941081</v>
      </c>
      <c r="BZ5" s="6">
        <v>1.8286467629065499</v>
      </c>
      <c r="CA5" s="6">
        <v>1.6837954323898401</v>
      </c>
      <c r="CB5" s="6">
        <v>1.91023840200504</v>
      </c>
      <c r="CC5" s="6">
        <v>1.6978054475778801</v>
      </c>
      <c r="CD5" s="6">
        <v>1.8158924299761301</v>
      </c>
      <c r="CE5" s="6">
        <v>1.58235850260281</v>
      </c>
      <c r="CF5" s="6">
        <v>1.76890030141473</v>
      </c>
      <c r="CG5" s="6">
        <v>1.50226291202658</v>
      </c>
      <c r="CH5" s="6">
        <v>1.6064050716442799</v>
      </c>
      <c r="CI5" s="6">
        <v>1.5217757963575</v>
      </c>
      <c r="CJ5" s="6">
        <v>1.4338092829881</v>
      </c>
      <c r="CK5" s="6">
        <v>1.4599998907013501</v>
      </c>
      <c r="CL5" s="6">
        <v>1.46548096216117</v>
      </c>
      <c r="CM5" s="6">
        <v>1.9237603964540699</v>
      </c>
      <c r="CN5" s="6">
        <v>1.7424434925499199</v>
      </c>
      <c r="CO5" s="6">
        <v>1.2733640619116799</v>
      </c>
      <c r="CP5" s="6">
        <v>1.7488366808907401</v>
      </c>
      <c r="CQ5" s="6">
        <v>1.4881133575958501</v>
      </c>
      <c r="CR5" s="6">
        <v>1.46993749226012</v>
      </c>
      <c r="CS5" s="6">
        <v>1.78026802796621</v>
      </c>
      <c r="CT5" s="6">
        <v>1.4910952643394799</v>
      </c>
      <c r="CU5" s="6">
        <v>1.5404317041083</v>
      </c>
      <c r="CV5" s="6">
        <v>1.71579779488369</v>
      </c>
      <c r="CW5" s="6">
        <v>1.31058059083763</v>
      </c>
      <c r="CX5" s="6">
        <v>1.2295727414390101</v>
      </c>
      <c r="CY5" s="6">
        <v>1.37861984963111</v>
      </c>
      <c r="CZ5" s="6">
        <v>1.8455687046225999</v>
      </c>
      <c r="DA5" s="6">
        <v>1.58683122505092</v>
      </c>
      <c r="DB5" s="6">
        <v>1.4648839439605701</v>
      </c>
      <c r="DC5" s="6">
        <v>1.50619079503611</v>
      </c>
      <c r="DD5" s="6">
        <v>1.56996606748975</v>
      </c>
      <c r="DE5" s="6">
        <v>1.5186814126199599</v>
      </c>
      <c r="DF5" s="6">
        <v>1.7965062681527699</v>
      </c>
      <c r="DG5" s="6">
        <v>1.5980689852000101</v>
      </c>
      <c r="DH5" s="6">
        <v>1.49238154579315</v>
      </c>
      <c r="DI5" s="6">
        <v>1.6942421556462799</v>
      </c>
      <c r="DJ5" s="6">
        <v>1.56048220753836</v>
      </c>
      <c r="DK5" s="6">
        <v>1.4423471788835001</v>
      </c>
      <c r="DL5" s="6">
        <v>1.56455477402815</v>
      </c>
      <c r="DM5" s="6">
        <v>1.77927869348803</v>
      </c>
      <c r="DN5" s="6">
        <v>1.4623170896226501</v>
      </c>
      <c r="DO5" s="6">
        <v>1.4576601201781301</v>
      </c>
      <c r="DP5" s="6">
        <v>1.5650211405379399</v>
      </c>
      <c r="DQ5" s="6">
        <v>1.3673841426418101</v>
      </c>
      <c r="DR5" s="6">
        <v>1.2880780800571201</v>
      </c>
      <c r="DS5" s="6">
        <v>1.5813977931010299</v>
      </c>
      <c r="DT5" s="6">
        <v>2.1641912968195101</v>
      </c>
      <c r="DU5" s="6">
        <v>1.2227624918936599</v>
      </c>
      <c r="DV5" s="6">
        <v>1.70414809284104</v>
      </c>
      <c r="DW5" s="6">
        <v>1.5352317272960501</v>
      </c>
      <c r="DX5" s="6">
        <v>1.54038502501713</v>
      </c>
      <c r="DY5" s="6">
        <v>1.55099501436803</v>
      </c>
      <c r="DZ5" s="6">
        <v>1.5574658488576401</v>
      </c>
      <c r="EA5" s="6">
        <v>1.44031409189326</v>
      </c>
      <c r="EB5" s="6">
        <v>1.2731246204818101</v>
      </c>
      <c r="EC5" s="6">
        <v>1.5587373129205899</v>
      </c>
      <c r="ED5" s="6">
        <v>1.5736991770136799</v>
      </c>
      <c r="EE5" s="6">
        <v>1.5087851523067799</v>
      </c>
      <c r="EF5" s="6">
        <v>1.58328520144892</v>
      </c>
      <c r="EG5" s="6">
        <v>1.57541728145538</v>
      </c>
      <c r="EH5" s="6">
        <v>1.6802964971305201</v>
      </c>
      <c r="EI5" s="6">
        <v>1.9121247189433199</v>
      </c>
      <c r="EJ5" s="6">
        <v>1.49967130963095</v>
      </c>
      <c r="EK5" s="6">
        <v>1.8736331721778201</v>
      </c>
      <c r="EL5" s="6">
        <v>1.74609799417482</v>
      </c>
      <c r="EM5" s="6">
        <v>1.26557906747813</v>
      </c>
      <c r="EN5" s="6">
        <v>1.5427819970780601</v>
      </c>
      <c r="EO5" s="6">
        <v>1.42932710793836</v>
      </c>
      <c r="EP5" s="6">
        <v>1.8288630543259301</v>
      </c>
      <c r="EQ5" s="6">
        <v>1.98980456920545</v>
      </c>
      <c r="ER5" s="6">
        <v>1.6617413524046201</v>
      </c>
      <c r="ES5" s="6">
        <v>1.7137717086220901</v>
      </c>
      <c r="ET5" s="6">
        <v>1.51979948482258</v>
      </c>
      <c r="EU5" s="6">
        <v>1.46473456183928</v>
      </c>
      <c r="EV5" s="6">
        <v>1.4717738535282301</v>
      </c>
      <c r="EW5" s="6">
        <v>1.54287479443813</v>
      </c>
      <c r="EX5" s="6">
        <v>2.0300940584557798</v>
      </c>
      <c r="EY5" s="6">
        <v>1.64903848922063</v>
      </c>
      <c r="EZ5" s="6">
        <v>1.48830081835658</v>
      </c>
      <c r="FA5" s="6">
        <v>1.5031097380003799</v>
      </c>
      <c r="FB5" s="6">
        <v>1.6268350867194801</v>
      </c>
      <c r="FC5" s="6">
        <v>1.5314408511523701</v>
      </c>
      <c r="FD5" s="6">
        <v>1.89949754084595</v>
      </c>
      <c r="FE5" s="6">
        <v>1.66754076849315</v>
      </c>
      <c r="FF5" s="6">
        <v>1.4330717402698501</v>
      </c>
      <c r="FG5" s="6">
        <v>1.58770969657996</v>
      </c>
      <c r="FH5" s="6">
        <v>1.49920689047251</v>
      </c>
      <c r="FI5" s="6">
        <v>1.4554253713588401</v>
      </c>
      <c r="FJ5" s="6">
        <v>1.84413151191126</v>
      </c>
      <c r="FK5" s="6">
        <v>1.7368152023690799</v>
      </c>
      <c r="FL5" s="6">
        <v>1.2663083026259101</v>
      </c>
      <c r="FM5" s="6">
        <v>1.45995350521683</v>
      </c>
      <c r="FN5" s="6">
        <v>1.5165739200515</v>
      </c>
      <c r="FO5" s="6">
        <v>1.88139393560699</v>
      </c>
      <c r="FP5" s="6">
        <v>1.7163081040175501</v>
      </c>
      <c r="FQ5" s="6">
        <v>1.57272569478711</v>
      </c>
      <c r="FR5" s="6">
        <v>1.6419569649702099</v>
      </c>
      <c r="FS5" s="6">
        <v>1.7331820470980801</v>
      </c>
      <c r="FT5" s="6">
        <v>1.4607610327991101</v>
      </c>
      <c r="FU5" s="6">
        <v>1.44202042563945</v>
      </c>
      <c r="FV5" s="6">
        <v>1.6660662650975799</v>
      </c>
      <c r="FW5" s="6">
        <v>1.7885480232064801</v>
      </c>
      <c r="FX5" s="6">
        <v>1.81783382511432</v>
      </c>
      <c r="FY5" s="6">
        <v>1.7455145406569399</v>
      </c>
      <c r="FZ5" s="6">
        <v>1.4480430882898401</v>
      </c>
      <c r="GA5" s="6">
        <v>1.7605287843817199</v>
      </c>
      <c r="GB5" s="6">
        <v>1.7656229380157</v>
      </c>
      <c r="GC5" s="6">
        <v>1.38103262508027</v>
      </c>
      <c r="GD5" s="6">
        <v>1.7284991068865101</v>
      </c>
      <c r="GE5" s="6">
        <v>1.42735853501448</v>
      </c>
      <c r="GF5" s="6">
        <v>1.561204039675</v>
      </c>
      <c r="GG5" s="6">
        <v>1.3715483754694899</v>
      </c>
      <c r="GH5" s="6">
        <v>1.7313229770670999</v>
      </c>
      <c r="GI5" s="6">
        <v>1.3754963078003899</v>
      </c>
      <c r="GJ5" s="6">
        <v>1.60088100246467</v>
      </c>
      <c r="GK5" s="6">
        <v>1.63769592467525</v>
      </c>
      <c r="GL5" s="6">
        <v>1.49404420166717</v>
      </c>
      <c r="GM5" s="6">
        <v>1.3396780304314799</v>
      </c>
      <c r="GN5" s="6">
        <v>1.6512169737225799</v>
      </c>
      <c r="GO5" s="6">
        <v>1.7471911414113499</v>
      </c>
      <c r="GP5" s="6">
        <v>1.53086778407559</v>
      </c>
      <c r="GQ5" s="6">
        <v>2.11434734225656</v>
      </c>
      <c r="GR5" s="6">
        <v>1.6426289374121701</v>
      </c>
      <c r="GS5" s="6">
        <v>1.93155223345774</v>
      </c>
      <c r="GT5" s="6">
        <v>1.46007728656946</v>
      </c>
      <c r="GU5" s="6">
        <v>1.5536673009947399</v>
      </c>
      <c r="GV5" s="6">
        <v>1.80608960629617</v>
      </c>
      <c r="GW5" s="6">
        <v>1.5155698440515999</v>
      </c>
      <c r="GX5" s="6">
        <v>1.5257160915432499</v>
      </c>
      <c r="GY5" s="6">
        <v>1.32044840207892</v>
      </c>
      <c r="GZ5" s="6">
        <v>1.62242332970181</v>
      </c>
      <c r="HA5" s="6">
        <v>1.46920953340384</v>
      </c>
      <c r="HB5" s="6">
        <v>1.34034416829539</v>
      </c>
      <c r="HC5" s="6">
        <v>1.4081725697016401</v>
      </c>
      <c r="HD5" s="6">
        <v>1.62506246260978</v>
      </c>
      <c r="HE5" s="6">
        <v>1.6385815691013801</v>
      </c>
      <c r="HF5" s="6">
        <v>1.5964738172091499</v>
      </c>
      <c r="HG5" s="6">
        <v>1.80607901591382</v>
      </c>
      <c r="HH5" s="6">
        <v>1.7354107270293699</v>
      </c>
      <c r="HI5" s="6">
        <v>1.46462394055298</v>
      </c>
      <c r="HJ5" s="6">
        <v>1.4677753133718501</v>
      </c>
      <c r="HK5" s="6">
        <v>1.4833281998029599</v>
      </c>
      <c r="HL5" s="6">
        <v>1.73060885178783</v>
      </c>
      <c r="HM5" s="6">
        <v>1.8249137540532701</v>
      </c>
      <c r="HN5" s="6">
        <v>1.5110588827301401</v>
      </c>
      <c r="HO5" s="6">
        <v>1.45320531394175</v>
      </c>
      <c r="HP5" s="6">
        <v>1.91967339382823</v>
      </c>
      <c r="HQ5" s="6">
        <v>1.3899471910318699</v>
      </c>
      <c r="HR5" s="6">
        <v>1.5488763486972601</v>
      </c>
      <c r="HS5" s="6">
        <v>1.38253207426865</v>
      </c>
      <c r="HT5" s="6">
        <v>2.2570302541318101</v>
      </c>
      <c r="HU5" s="6">
        <v>1.4194079580808701</v>
      </c>
      <c r="HV5" s="6">
        <v>1.6299864305431699</v>
      </c>
      <c r="HW5" s="6">
        <v>1.6714049783940399</v>
      </c>
      <c r="HX5" s="6">
        <v>1.73034043922601</v>
      </c>
      <c r="HY5" s="6">
        <v>1.66666972165493</v>
      </c>
      <c r="HZ5" s="6">
        <v>1.56070593418696</v>
      </c>
      <c r="IA5" s="6">
        <v>1.46783880003583</v>
      </c>
      <c r="IB5" s="6">
        <v>2.0140383370234001</v>
      </c>
      <c r="IC5" s="6">
        <v>1.83933192545338</v>
      </c>
      <c r="ID5" s="6">
        <v>1.5325732141530699</v>
      </c>
      <c r="IE5" s="6">
        <v>1.6451712393194799</v>
      </c>
      <c r="IF5" s="6">
        <v>1.5402883626564201</v>
      </c>
      <c r="IG5" s="6">
        <v>2.0103538678339001</v>
      </c>
      <c r="IH5" s="6">
        <v>1.6127802898951999</v>
      </c>
      <c r="II5" s="6">
        <v>1.7780611352573099</v>
      </c>
      <c r="IJ5" s="6">
        <v>1.66023842472432</v>
      </c>
      <c r="IK5" s="6">
        <v>1.4602507205550199</v>
      </c>
      <c r="IL5" s="6">
        <v>1.4165464444103399</v>
      </c>
      <c r="IM5" s="6">
        <v>1.57095893665543</v>
      </c>
      <c r="IN5" s="6">
        <v>1.8253701265805999</v>
      </c>
      <c r="IO5" s="6">
        <v>1.7920196210405901</v>
      </c>
      <c r="IP5" s="6">
        <v>1.3040596289395201</v>
      </c>
      <c r="IQ5" s="6">
        <v>1.8717814076055499</v>
      </c>
      <c r="IR5" s="6">
        <v>2.4746618370040498</v>
      </c>
      <c r="IS5" s="6">
        <v>1.5519131968372699</v>
      </c>
      <c r="IT5" s="6">
        <v>1.5399301676985</v>
      </c>
      <c r="IU5" s="6">
        <v>1.54215325434369</v>
      </c>
      <c r="IV5" s="6">
        <v>1.63093503832461</v>
      </c>
      <c r="IW5" s="6">
        <v>2.4749618532782698</v>
      </c>
      <c r="IX5" s="6">
        <v>1.4779511581072899</v>
      </c>
      <c r="IY5" s="6">
        <v>1.3597632783203299</v>
      </c>
      <c r="IZ5" s="6">
        <v>1.6936359356724</v>
      </c>
      <c r="JA5" s="6">
        <v>1.4965036836285099</v>
      </c>
      <c r="JB5" s="6">
        <v>1.99596805289265</v>
      </c>
      <c r="JC5" s="6">
        <v>1.93959007232847</v>
      </c>
      <c r="JD5" s="6">
        <v>1.6132288225787199</v>
      </c>
      <c r="JE5" s="6">
        <v>1.9990592810650201</v>
      </c>
      <c r="JF5" s="6">
        <v>1.5731905672564299</v>
      </c>
      <c r="JG5" s="6">
        <v>1.48539804673016</v>
      </c>
      <c r="JH5" s="6">
        <v>1.6733874976541001</v>
      </c>
      <c r="JI5" s="6">
        <v>1.42340027013571</v>
      </c>
      <c r="JJ5" s="6">
        <v>1.7564149718436499</v>
      </c>
      <c r="JK5" s="6">
        <v>1.3042934382696301</v>
      </c>
      <c r="JL5" s="6">
        <v>1.6742699610343199</v>
      </c>
      <c r="JM5" s="6">
        <v>2.0812404155828701</v>
      </c>
      <c r="JN5" s="6">
        <v>1.55355176758206</v>
      </c>
      <c r="JO5" s="6">
        <v>1.85214107368183</v>
      </c>
      <c r="JP5" s="6">
        <v>1.7862657649521301</v>
      </c>
      <c r="JQ5" s="6">
        <v>1.5169373815517999</v>
      </c>
      <c r="JR5" s="6">
        <v>1.80547941912509</v>
      </c>
      <c r="JS5" s="6">
        <v>1.3735673941667299</v>
      </c>
      <c r="JT5" s="6">
        <v>1.4022457911045301</v>
      </c>
      <c r="JU5" s="6">
        <v>1.6845306720790201</v>
      </c>
      <c r="JV5" s="6">
        <v>1.84314401312867</v>
      </c>
      <c r="JW5" s="6">
        <v>1.66311063741859</v>
      </c>
      <c r="JX5" s="6">
        <v>1.7326207389530499</v>
      </c>
      <c r="JY5" s="6">
        <v>1.7346704554503301</v>
      </c>
      <c r="JZ5" s="6">
        <v>1.3671246349250901</v>
      </c>
      <c r="KA5" s="6">
        <v>1.4972005318158901</v>
      </c>
      <c r="KB5" s="6">
        <v>1.56023065685579</v>
      </c>
      <c r="KC5" s="6">
        <v>1.5510975101747799</v>
      </c>
      <c r="KD5" s="6">
        <v>1.56532785098607</v>
      </c>
      <c r="KE5" s="6">
        <v>1.9656788114639401</v>
      </c>
      <c r="KF5" s="6">
        <v>1.3590584204784899</v>
      </c>
      <c r="KG5" s="6">
        <v>1.3269430676443199</v>
      </c>
      <c r="KH5" s="6">
        <v>2.0395774177404302</v>
      </c>
      <c r="KI5" s="6">
        <v>1.6622543125746201</v>
      </c>
      <c r="KJ5" s="6">
        <v>1.49880324441345</v>
      </c>
      <c r="KK5" s="6">
        <v>1.80770464974227</v>
      </c>
      <c r="KL5" s="6">
        <v>1.6001458006487299</v>
      </c>
      <c r="KM5" s="6">
        <v>1.60168324305534</v>
      </c>
      <c r="KN5" s="6">
        <v>1.2352035747519501</v>
      </c>
      <c r="KO5" s="6">
        <v>1.35354129571191</v>
      </c>
      <c r="KP5" s="6">
        <v>1.56369203396442</v>
      </c>
      <c r="KQ5" s="6">
        <v>1.4947528677703901</v>
      </c>
      <c r="KR5" s="6">
        <v>2.3241393969912898</v>
      </c>
      <c r="KS5" s="6">
        <v>1.57317048210213</v>
      </c>
      <c r="KT5" s="6">
        <v>1.4430037843155801</v>
      </c>
      <c r="KU5" s="6">
        <v>1.5740489972440399</v>
      </c>
      <c r="KV5" s="6">
        <v>1.9541783113198701</v>
      </c>
      <c r="KW5" s="6">
        <v>1.48000525289003</v>
      </c>
      <c r="KX5" s="6">
        <v>2.05510833148315</v>
      </c>
      <c r="KY5" s="6">
        <v>1.72552728225504</v>
      </c>
      <c r="KZ5" s="6">
        <v>1.65147400872326</v>
      </c>
      <c r="LA5" s="6">
        <v>1.8117421142243599</v>
      </c>
      <c r="LB5" s="6">
        <v>1.72438642967275</v>
      </c>
      <c r="LC5" s="6">
        <v>1.52364011842209</v>
      </c>
      <c r="LD5" s="6">
        <v>1.8694920471421601</v>
      </c>
      <c r="LE5" s="6">
        <v>1.62016282112818</v>
      </c>
      <c r="LF5" s="6">
        <v>1.5827571238073901</v>
      </c>
      <c r="LG5" s="6">
        <v>1.51940291014656</v>
      </c>
      <c r="LH5" s="6">
        <v>2.09080374123003</v>
      </c>
      <c r="LI5" s="6">
        <v>1.84612628207963</v>
      </c>
      <c r="LJ5" s="6">
        <v>2.0529285392048302</v>
      </c>
      <c r="LK5" s="6">
        <v>2.1659990164096601</v>
      </c>
      <c r="LL5" s="6">
        <v>1.43808488849717</v>
      </c>
      <c r="LM5" s="6">
        <v>1.5986343665446201</v>
      </c>
      <c r="LN5" s="6">
        <v>1.7053389898765601</v>
      </c>
      <c r="LO5" s="6">
        <v>1.8770349513864799</v>
      </c>
      <c r="LP5" s="6">
        <v>1.4136271325133301</v>
      </c>
      <c r="LQ5" s="6">
        <v>1.9921685365488</v>
      </c>
      <c r="LR5" s="6">
        <v>1.5939539166724399</v>
      </c>
      <c r="LS5" s="6">
        <v>1.8720090718277</v>
      </c>
      <c r="LT5" s="6">
        <v>1.80285825587572</v>
      </c>
      <c r="LU5" s="6">
        <v>2.0282182273483</v>
      </c>
      <c r="LV5" s="6">
        <v>1.4622168676276599</v>
      </c>
      <c r="LW5" s="6">
        <v>1.6181698801268301</v>
      </c>
      <c r="LX5" s="6">
        <v>1.60022644750017</v>
      </c>
      <c r="LY5" s="6">
        <v>1.4984350068199299</v>
      </c>
      <c r="LZ5" s="6">
        <v>2.1735165142685999</v>
      </c>
      <c r="MA5" s="6">
        <v>1.6881823274412799</v>
      </c>
      <c r="MB5" s="6">
        <v>2.0542234104747101</v>
      </c>
      <c r="MC5" s="6">
        <v>1.5246337190053401</v>
      </c>
      <c r="MD5" s="6">
        <v>1.4351125621866301</v>
      </c>
      <c r="ME5" s="6">
        <v>1.4141324203991501</v>
      </c>
      <c r="MF5" s="6">
        <v>1.54064648110059</v>
      </c>
      <c r="MG5" s="6">
        <v>1.9204182290374701</v>
      </c>
      <c r="MH5" s="6">
        <v>1.8181142747508301</v>
      </c>
      <c r="MI5" s="6">
        <v>1.4904819633492801</v>
      </c>
      <c r="MJ5" s="6">
        <v>1.4042331122951801</v>
      </c>
      <c r="MK5" s="6">
        <v>1.6491669120754899</v>
      </c>
      <c r="ML5" s="6">
        <v>1.75938744280398</v>
      </c>
      <c r="MM5" s="6">
        <v>1.8497183386217999</v>
      </c>
      <c r="MN5" s="6">
        <v>1.5182382545141699</v>
      </c>
      <c r="MO5" s="6">
        <v>1.8338706501625299</v>
      </c>
      <c r="MP5" s="6">
        <v>1.55640684598607</v>
      </c>
      <c r="MQ5" s="6">
        <v>1.63542509389243</v>
      </c>
      <c r="MR5" s="6">
        <v>1.6809010195866501</v>
      </c>
      <c r="MS5" s="6">
        <v>1.8661397896768599</v>
      </c>
      <c r="MT5" s="6">
        <v>1.43614551075925</v>
      </c>
      <c r="MU5" s="6">
        <v>1.64929983396141</v>
      </c>
      <c r="MV5" s="6">
        <v>1.8099975271598301</v>
      </c>
      <c r="MW5" s="6">
        <v>1.4845356167835</v>
      </c>
      <c r="MX5" s="6">
        <v>1.6652406378480999</v>
      </c>
      <c r="MY5" s="6">
        <v>1.75179483485156</v>
      </c>
      <c r="MZ5" s="6">
        <v>1.68739828068981</v>
      </c>
      <c r="NA5" s="6">
        <v>1.6891039011443101</v>
      </c>
      <c r="NB5" s="6">
        <v>1.73245851640931</v>
      </c>
      <c r="NC5" s="6">
        <v>1.5360613176798801</v>
      </c>
      <c r="ND5" s="6">
        <v>1.5347416805563801</v>
      </c>
      <c r="NE5" s="6">
        <v>1.5857186995061701</v>
      </c>
      <c r="NF5" s="6">
        <v>1.4451022265853499</v>
      </c>
      <c r="NG5" s="6">
        <v>1.6300609570056399</v>
      </c>
      <c r="NH5" s="6">
        <v>1.46690078057871</v>
      </c>
      <c r="NI5" s="6">
        <v>1.4347141747254399</v>
      </c>
      <c r="NJ5" s="6">
        <v>1.4577553698608099</v>
      </c>
      <c r="NK5" s="6">
        <v>1.79412629319607</v>
      </c>
      <c r="NL5" s="6">
        <v>1.63326678689657</v>
      </c>
      <c r="NM5" s="6">
        <v>1.5965488690002301</v>
      </c>
      <c r="NN5" s="6">
        <v>1.86675425052842</v>
      </c>
      <c r="NO5" s="6">
        <v>1.94713533346621</v>
      </c>
      <c r="NP5" s="6">
        <v>1.7541226871985101</v>
      </c>
      <c r="NQ5" s="6">
        <v>1.4582930631987401</v>
      </c>
      <c r="NR5" s="6">
        <v>1.8230449714633501</v>
      </c>
      <c r="NS5" s="6">
        <v>1.54538660842822</v>
      </c>
      <c r="NT5" s="6">
        <v>1.91223238853345</v>
      </c>
      <c r="NU5" s="6">
        <v>2.1994173344072601</v>
      </c>
      <c r="NV5" s="6">
        <v>1.35596807098581</v>
      </c>
      <c r="NW5" s="6">
        <v>1.8503982734209901</v>
      </c>
      <c r="NX5" s="6">
        <v>1.4983905518634699</v>
      </c>
      <c r="NY5" s="6">
        <v>1.5254834864161599</v>
      </c>
      <c r="NZ5" s="6">
        <v>1.9008852289067699</v>
      </c>
      <c r="OA5" s="6">
        <v>1.5906061195615899</v>
      </c>
      <c r="OB5" s="6">
        <v>1.3135176223156499</v>
      </c>
      <c r="OC5" s="6">
        <v>1.47358187046234</v>
      </c>
      <c r="OD5" s="6">
        <v>1.63136846341428</v>
      </c>
      <c r="OE5" s="6">
        <v>1.61086190282746</v>
      </c>
      <c r="OF5" s="6">
        <v>1.7433554018003801</v>
      </c>
      <c r="OG5" s="6">
        <v>1.5499502333800901</v>
      </c>
      <c r="OH5" s="6">
        <v>1.5146069175429999</v>
      </c>
      <c r="OI5" s="6">
        <v>1.4966679280680699</v>
      </c>
      <c r="OJ5" s="6">
        <v>1.6283931296457299</v>
      </c>
      <c r="OK5" s="6">
        <v>1.68474532943157</v>
      </c>
      <c r="OL5" s="6">
        <v>1.62262022576939</v>
      </c>
      <c r="OM5" s="6">
        <v>1.5977677814859399</v>
      </c>
      <c r="ON5" s="6">
        <v>1.5771120752957399</v>
      </c>
      <c r="OO5" s="6">
        <v>1.4943197875916701</v>
      </c>
      <c r="OP5" s="6">
        <v>1.60486090093519</v>
      </c>
      <c r="OQ5" s="6">
        <v>1.7011308211188101</v>
      </c>
      <c r="OR5" s="6">
        <v>1.6788318739158701</v>
      </c>
      <c r="OS5" s="6">
        <v>1.85335621044045</v>
      </c>
      <c r="OT5" s="6">
        <v>1.6278672352085799</v>
      </c>
      <c r="OU5" s="6">
        <v>2.0339899412028002</v>
      </c>
      <c r="OV5" s="6">
        <v>1.6808911806482001</v>
      </c>
      <c r="OW5" s="6">
        <v>1.76129903363761</v>
      </c>
      <c r="OX5" s="6">
        <v>1.36306194335747</v>
      </c>
      <c r="OY5" s="6">
        <v>1.7856743455438699</v>
      </c>
      <c r="OZ5" s="6">
        <v>1.4624618780087899</v>
      </c>
      <c r="PA5" s="6">
        <v>1.51418440393344</v>
      </c>
      <c r="PB5" s="6">
        <v>1.69317404634448</v>
      </c>
      <c r="PC5" s="6">
        <v>1.42306234702628</v>
      </c>
      <c r="PD5" s="6">
        <v>1.4312026284844901</v>
      </c>
      <c r="PE5" s="6">
        <v>1.4830018236142199</v>
      </c>
      <c r="PF5" s="6">
        <v>1.53671412719475</v>
      </c>
      <c r="PG5" s="6">
        <v>1.72280525888203</v>
      </c>
      <c r="PH5" s="6">
        <v>1.50895121505684</v>
      </c>
      <c r="PI5" s="6">
        <v>1.6316510322573401</v>
      </c>
      <c r="PJ5" s="6">
        <v>2.1107172320683398</v>
      </c>
      <c r="PK5" s="6">
        <v>1.8491032171137101</v>
      </c>
      <c r="PL5" s="6">
        <v>1.61388844860747</v>
      </c>
      <c r="PM5" s="6">
        <v>1.72424145508335</v>
      </c>
      <c r="PN5" s="6">
        <v>1.54931003613458</v>
      </c>
      <c r="PO5" s="6">
        <v>1.76779474700324</v>
      </c>
      <c r="PP5" s="6">
        <v>1.6964773465382199</v>
      </c>
      <c r="PQ5" s="6">
        <v>1.4724074565287899</v>
      </c>
      <c r="PR5" s="6">
        <v>1.4219838688100701</v>
      </c>
      <c r="PS5" s="6">
        <v>1.8189985719092201</v>
      </c>
      <c r="PT5" s="6">
        <v>1.54667650153151</v>
      </c>
      <c r="PU5" s="6">
        <v>1.48012813023301</v>
      </c>
      <c r="PV5" s="6">
        <v>1.43291407773979</v>
      </c>
      <c r="PW5" s="6">
        <v>3.6504696643040999</v>
      </c>
      <c r="PX5" s="6">
        <v>1.35621463646226</v>
      </c>
      <c r="PY5" s="6">
        <v>1.3227632939384399</v>
      </c>
      <c r="PZ5" s="6">
        <v>1.69120245407126</v>
      </c>
      <c r="QA5" s="6">
        <v>1.65202353639278</v>
      </c>
      <c r="QB5" s="6">
        <v>1.44448391696519</v>
      </c>
      <c r="QC5" s="6">
        <v>1.5791458239926099</v>
      </c>
      <c r="QD5" s="6">
        <v>1.6760366420142401</v>
      </c>
      <c r="QE5" s="6">
        <v>1.7007634694234499</v>
      </c>
      <c r="QF5" s="6">
        <v>1.7240744314295</v>
      </c>
      <c r="QG5" s="6">
        <v>1.3892088670387399</v>
      </c>
      <c r="QH5" s="6">
        <v>1.4268334862690899</v>
      </c>
      <c r="QI5" s="6">
        <v>1.8321830956816201</v>
      </c>
      <c r="QJ5" s="6">
        <v>1.38038803553917</v>
      </c>
      <c r="QK5" s="6">
        <v>1.8781944590155499</v>
      </c>
      <c r="QL5" s="6">
        <v>1.6092136419351599</v>
      </c>
      <c r="QM5" s="6">
        <v>1.6361083455838401</v>
      </c>
      <c r="QN5" s="6">
        <v>1.2896091916600501</v>
      </c>
      <c r="QO5" s="6">
        <v>1.69504485666311</v>
      </c>
      <c r="QP5" s="6">
        <v>1.5489944660222399</v>
      </c>
      <c r="QQ5" s="6">
        <v>1.51714597454085</v>
      </c>
      <c r="QR5" s="6">
        <v>1.5106054209483599</v>
      </c>
      <c r="QS5" s="6">
        <v>1.44392246039929</v>
      </c>
      <c r="QT5" s="6">
        <v>1.67913503441192</v>
      </c>
      <c r="QU5" s="6">
        <v>1.6883675048992901</v>
      </c>
      <c r="QV5" s="6">
        <v>1.81433189851201</v>
      </c>
      <c r="QW5" s="6">
        <v>2.2538002854113102</v>
      </c>
      <c r="QX5" s="6">
        <v>1.63088365134005</v>
      </c>
      <c r="QY5" s="6">
        <v>2.0683448624754899</v>
      </c>
      <c r="QZ5" s="6">
        <v>1.8013436038830599</v>
      </c>
      <c r="RA5" s="6">
        <v>1.2327083493451001</v>
      </c>
      <c r="RB5" s="6">
        <v>1.5428559316919701</v>
      </c>
      <c r="RC5" s="6">
        <v>1.92480313157452</v>
      </c>
      <c r="RD5" s="6">
        <v>1.7917992424550999</v>
      </c>
      <c r="RE5" s="6">
        <v>1.5747256195881301</v>
      </c>
      <c r="RF5" s="6">
        <v>1.66553140394659</v>
      </c>
      <c r="RG5" s="6">
        <v>1.48613478543636</v>
      </c>
      <c r="RH5" s="6">
        <v>1.3636665881985199</v>
      </c>
      <c r="RI5" s="6">
        <v>1.53367484486691</v>
      </c>
      <c r="RJ5" s="6">
        <v>1.7058670188449201</v>
      </c>
      <c r="RK5" s="6">
        <v>1.56390978954534</v>
      </c>
      <c r="RL5" s="6">
        <v>1.8666117001627001</v>
      </c>
      <c r="RM5" s="6">
        <v>1.41208251583186</v>
      </c>
      <c r="RN5" s="6">
        <v>1.5352169139613601</v>
      </c>
      <c r="RO5" s="6">
        <v>1.70694712497159</v>
      </c>
      <c r="RP5" s="6">
        <v>1.7503562295498101</v>
      </c>
      <c r="RQ5" s="6">
        <v>1.2522365797022199</v>
      </c>
      <c r="RR5" s="6">
        <v>1.5879286951911</v>
      </c>
      <c r="RS5" s="6">
        <v>1.3564587908897701</v>
      </c>
      <c r="RT5" s="6">
        <v>1.6396095192337199</v>
      </c>
      <c r="RU5" s="6">
        <v>1.5349659685175201</v>
      </c>
      <c r="RV5" s="6">
        <v>1.4842355839230399</v>
      </c>
      <c r="RW5" s="6">
        <v>1.74197293593084</v>
      </c>
      <c r="RX5" s="6">
        <v>1.68664543864118</v>
      </c>
      <c r="RY5" s="6">
        <v>1.4396058957439299</v>
      </c>
      <c r="RZ5" s="6">
        <v>1.3414681013874801</v>
      </c>
      <c r="SA5" s="6">
        <v>1.6336697895864201</v>
      </c>
      <c r="SB5" s="6">
        <v>1.53856374486748</v>
      </c>
      <c r="SC5" s="6">
        <v>1.6902377819422301</v>
      </c>
      <c r="SD5" s="6">
        <v>1.65816823642792</v>
      </c>
      <c r="SE5" s="6">
        <v>1.54439322248568</v>
      </c>
      <c r="SF5" s="6">
        <v>1.4668511044344399</v>
      </c>
      <c r="SG5" s="6">
        <v>1.58795026136559</v>
      </c>
      <c r="SH5" s="6">
        <v>1.59863463744056</v>
      </c>
      <c r="SI5" s="6">
        <v>1.48823183803741</v>
      </c>
      <c r="SJ5" s="6">
        <v>1.4044094944760801</v>
      </c>
      <c r="SK5" s="6">
        <v>1.4554286120953399</v>
      </c>
      <c r="SL5" s="6">
        <v>1.7147161837615701</v>
      </c>
      <c r="SM5" s="6">
        <v>1.6063834381584701</v>
      </c>
      <c r="SN5" s="6">
        <v>1.5686535229232801</v>
      </c>
      <c r="SO5" s="6">
        <v>1.7328796882772199</v>
      </c>
      <c r="SP5" s="6">
        <v>1.4784917118398899</v>
      </c>
      <c r="SQ5" s="6">
        <v>1.4976761902211499</v>
      </c>
      <c r="SR5" s="6">
        <v>1.5979043147393699</v>
      </c>
      <c r="SS5" s="6">
        <v>1.26524733634849</v>
      </c>
      <c r="ST5" s="6">
        <v>1.68791351852813</v>
      </c>
      <c r="SU5" s="6">
        <v>1.6418346663077601</v>
      </c>
      <c r="SV5" s="6">
        <v>1.4628907895796801</v>
      </c>
      <c r="SW5" s="6">
        <v>1.8848257481905799</v>
      </c>
      <c r="SX5" s="6">
        <v>2.1287257230864198</v>
      </c>
      <c r="SY5" s="6">
        <v>1.75848734894212</v>
      </c>
      <c r="SZ5" s="6">
        <v>1.7700791929515201</v>
      </c>
      <c r="TA5" s="6">
        <v>1.7818715026910901</v>
      </c>
      <c r="TB5" s="6">
        <v>1.32451484264945</v>
      </c>
      <c r="TC5" s="6">
        <v>1.9406769983107699</v>
      </c>
      <c r="TD5" s="6">
        <v>1.7436196298541</v>
      </c>
      <c r="TE5" s="6">
        <v>1.969230156002</v>
      </c>
      <c r="TF5" s="6">
        <v>1.7987309521409001</v>
      </c>
      <c r="TG5" s="6">
        <v>1.6081289702652699</v>
      </c>
      <c r="TH5" s="6">
        <v>1.4953051649165501</v>
      </c>
      <c r="TI5" s="6">
        <v>1.6413514103482001</v>
      </c>
      <c r="TJ5" s="6">
        <v>1.6757092102079501</v>
      </c>
      <c r="TK5" s="6">
        <v>1.5946252816798501</v>
      </c>
      <c r="TL5" s="6">
        <v>1.6379740301541701</v>
      </c>
      <c r="TM5" s="6">
        <v>1.5094457233841501</v>
      </c>
      <c r="TN5" s="6">
        <v>1.4839398581540599</v>
      </c>
      <c r="TO5" s="6">
        <v>1.2786209371032999</v>
      </c>
      <c r="TP5" s="6">
        <v>1.67041563837552</v>
      </c>
      <c r="TQ5" s="6">
        <v>1.80153781501927</v>
      </c>
    </row>
    <row r="6" spans="1:537" x14ac:dyDescent="0.3">
      <c r="A6" s="14"/>
      <c r="B6" s="18"/>
      <c r="C6" s="18"/>
      <c r="D6" s="18"/>
      <c r="E6" s="18"/>
      <c r="F6" s="18"/>
      <c r="H6" s="19" t="s">
        <v>76</v>
      </c>
      <c r="I6" s="19" t="s">
        <v>10</v>
      </c>
      <c r="J6" s="26">
        <f>K6/$I$3</f>
        <v>1.6583258424492209E-2</v>
      </c>
      <c r="K6" s="20">
        <v>0.4790729587</v>
      </c>
      <c r="L6" s="5"/>
      <c r="M6" s="19" t="s">
        <v>76</v>
      </c>
      <c r="N6" s="19" t="s">
        <v>10</v>
      </c>
      <c r="O6" s="26">
        <f>P6/$P$18</f>
        <v>1.3681604814997543E-2</v>
      </c>
      <c r="P6" s="20">
        <f>K6*(1-AG2)</f>
        <v>0.34695415574270144</v>
      </c>
      <c r="Q6" s="5"/>
      <c r="R6" s="19" t="s">
        <v>76</v>
      </c>
      <c r="S6" s="19" t="s">
        <v>10</v>
      </c>
      <c r="T6" s="26">
        <f>U6/$U$18</f>
        <v>1.951756079694298E-2</v>
      </c>
      <c r="U6" s="20">
        <f>K6*(1+AH2)</f>
        <v>0.66273606109619154</v>
      </c>
      <c r="AF6" s="1" t="s">
        <v>78</v>
      </c>
      <c r="AG6" s="15">
        <f t="shared" si="0"/>
        <v>0.11481119708128858</v>
      </c>
      <c r="AH6" s="16">
        <f t="shared" si="1"/>
        <v>0.15171503561073102</v>
      </c>
      <c r="AI6" s="1">
        <f t="shared" si="2"/>
        <v>1.0018641248033155</v>
      </c>
      <c r="AJ6" s="6">
        <f t="shared" si="3"/>
        <v>0.88683890532184939</v>
      </c>
      <c r="AK6" s="17">
        <f t="shared" si="4"/>
        <v>1.1538619761749644</v>
      </c>
      <c r="AL6" s="1">
        <v>1.2152851947077901</v>
      </c>
      <c r="AM6" s="1">
        <v>1.1489926667533199</v>
      </c>
      <c r="AN6" s="1">
        <v>0.93452682536875797</v>
      </c>
      <c r="AO6" s="1">
        <v>0.908891009215824</v>
      </c>
      <c r="AP6" s="1">
        <v>0.98489425228421201</v>
      </c>
      <c r="AQ6" s="1">
        <v>1.0598107404299999</v>
      </c>
      <c r="AR6" s="1">
        <v>0.99806159541741701</v>
      </c>
      <c r="AS6" s="1">
        <v>0.899490275703412</v>
      </c>
      <c r="AT6" s="1">
        <v>0.977030988700053</v>
      </c>
      <c r="AU6" s="1">
        <v>0.97900386593909505</v>
      </c>
      <c r="AV6" s="1">
        <v>1.05680505517511</v>
      </c>
      <c r="AW6" s="1">
        <v>1.0230485760336301</v>
      </c>
      <c r="AX6" s="1">
        <v>1.0115977533449001</v>
      </c>
      <c r="AY6" s="1">
        <v>1.0216576367407999</v>
      </c>
      <c r="AZ6" s="1">
        <v>0.95221609097820603</v>
      </c>
      <c r="BA6" s="1">
        <v>0.97133797103921304</v>
      </c>
      <c r="BB6" s="1">
        <v>0.94038393332686698</v>
      </c>
      <c r="BC6" s="1">
        <v>0.96521341146134498</v>
      </c>
      <c r="BD6" s="1">
        <v>1.0548200163979899</v>
      </c>
      <c r="BE6" s="1">
        <v>1.03121435227096</v>
      </c>
      <c r="BF6" s="1">
        <v>1.0348596733639199</v>
      </c>
      <c r="BG6" s="1">
        <v>0.953547802436718</v>
      </c>
      <c r="BH6" s="1">
        <v>1.10108666348007</v>
      </c>
      <c r="BI6" s="1">
        <v>0.98616321627203996</v>
      </c>
      <c r="BJ6" s="1">
        <v>0.936194878880523</v>
      </c>
      <c r="BK6" s="1">
        <v>1.02885763013258</v>
      </c>
      <c r="BL6" s="1">
        <v>1.00581993693061</v>
      </c>
      <c r="BM6" s="1">
        <v>0.92554295058687697</v>
      </c>
      <c r="BN6" s="1">
        <v>1.19837226934951</v>
      </c>
      <c r="BO6" s="1">
        <v>0.97581143861964104</v>
      </c>
      <c r="BP6" s="1">
        <v>0.98477936744546002</v>
      </c>
      <c r="BQ6" s="1">
        <v>1.1638243618147099</v>
      </c>
      <c r="BR6" s="1">
        <v>0.84527225311676701</v>
      </c>
      <c r="BS6" s="1">
        <v>0.99097644863411605</v>
      </c>
      <c r="BT6" s="1">
        <v>0.94708888344116704</v>
      </c>
      <c r="BU6" s="1">
        <v>0.93252001460690104</v>
      </c>
      <c r="BV6" s="1">
        <v>0.95723742667850797</v>
      </c>
      <c r="BW6" s="1">
        <v>0.92544953955584897</v>
      </c>
      <c r="BX6" s="1">
        <v>0.99198691635999603</v>
      </c>
      <c r="BY6" s="1">
        <v>0.96266791865617596</v>
      </c>
      <c r="BZ6" s="1">
        <v>0.93517250529721496</v>
      </c>
      <c r="CA6" s="1">
        <v>1.0735394269268601</v>
      </c>
      <c r="CB6" s="1">
        <v>0.85230838831404399</v>
      </c>
      <c r="CC6" s="1">
        <v>1.05746454193689</v>
      </c>
      <c r="CD6" s="1">
        <v>1.12434068363622</v>
      </c>
      <c r="CE6" s="1">
        <v>1.12448391224703</v>
      </c>
      <c r="CF6" s="1">
        <v>0.97831602774209103</v>
      </c>
      <c r="CG6" s="1">
        <v>0.96322856273434798</v>
      </c>
      <c r="CH6" s="1">
        <v>0.940260811385766</v>
      </c>
      <c r="CI6" s="1">
        <v>0.92727897527242598</v>
      </c>
      <c r="CJ6" s="27">
        <v>1.1649955039014099</v>
      </c>
      <c r="CK6" s="27">
        <v>0.823894769750662</v>
      </c>
      <c r="CL6" s="27">
        <v>0.922705923208751</v>
      </c>
      <c r="CM6" s="27">
        <v>1.02655660689872</v>
      </c>
      <c r="CN6" s="27">
        <v>0.98436309211485495</v>
      </c>
      <c r="CO6" s="27">
        <v>1.02854934391911</v>
      </c>
      <c r="CP6" s="27">
        <v>1.04518105715109</v>
      </c>
      <c r="CQ6" s="27">
        <v>1.05287745019357</v>
      </c>
      <c r="CR6" s="27">
        <v>1.2027174730504999</v>
      </c>
      <c r="CS6" s="27">
        <v>0.913143552531407</v>
      </c>
      <c r="CT6" s="27">
        <v>1.40397451919715</v>
      </c>
      <c r="CU6" s="27">
        <v>1.0875335602151801</v>
      </c>
      <c r="CV6" s="27">
        <v>1.17181259912038</v>
      </c>
      <c r="CW6" s="27">
        <v>0.89686117454708703</v>
      </c>
      <c r="CX6" s="27">
        <v>0.882296158001043</v>
      </c>
      <c r="CY6" s="27">
        <v>0.92126527353103105</v>
      </c>
      <c r="CZ6" s="27">
        <v>0.95406655621572101</v>
      </c>
      <c r="DA6" s="27">
        <v>0.94966962146856904</v>
      </c>
      <c r="DB6" s="27">
        <v>1.0804570899200301</v>
      </c>
      <c r="DC6" s="27">
        <v>1.0879259798754</v>
      </c>
      <c r="DD6" s="27">
        <v>1.0772714099130301</v>
      </c>
      <c r="DE6" s="27">
        <v>1.05478083216125</v>
      </c>
      <c r="DF6" s="27">
        <v>1.1537621658104</v>
      </c>
      <c r="DG6" s="27">
        <v>1.05094394206131</v>
      </c>
      <c r="DH6" s="27">
        <v>1.0127998463210901</v>
      </c>
      <c r="DI6" s="27">
        <v>0.95344197584840196</v>
      </c>
      <c r="DJ6" s="27">
        <v>1.0993060260173499</v>
      </c>
      <c r="DK6" s="27">
        <v>0.99341193494237201</v>
      </c>
      <c r="DL6" s="27">
        <v>1.01152541012085</v>
      </c>
      <c r="DM6" s="27">
        <v>0.96059588722487499</v>
      </c>
      <c r="DN6" s="27">
        <v>0.93076285394849301</v>
      </c>
      <c r="DO6" s="27">
        <v>1.07122846945921</v>
      </c>
      <c r="DP6" s="27">
        <v>1.0162517690027399</v>
      </c>
      <c r="DQ6" s="27">
        <v>1.0151203839832099</v>
      </c>
      <c r="DR6" s="27">
        <v>0.92471951572544298</v>
      </c>
      <c r="DS6" s="27">
        <v>0.99921119756562005</v>
      </c>
      <c r="DT6" s="27">
        <v>1.0645445805649401</v>
      </c>
      <c r="DU6" s="27">
        <v>0.97978488157699395</v>
      </c>
      <c r="DV6" s="27">
        <v>1.11158095404067</v>
      </c>
      <c r="DW6" s="27">
        <v>0.97919324497677096</v>
      </c>
      <c r="DX6" s="27">
        <v>1.0755719394598899</v>
      </c>
      <c r="DY6" s="27">
        <v>1.0141749718256801</v>
      </c>
      <c r="DZ6" s="27">
        <v>0.94026174567835996</v>
      </c>
      <c r="EA6" s="27">
        <v>1.04736142732832</v>
      </c>
      <c r="EB6" s="27">
        <v>1.0885512584656201</v>
      </c>
      <c r="EC6" s="27">
        <v>0.92574165851018697</v>
      </c>
      <c r="ED6" s="27">
        <v>0.89430000152711997</v>
      </c>
      <c r="EE6" s="27">
        <v>0.98785365826097005</v>
      </c>
      <c r="EF6" s="27">
        <v>1.3869997194604</v>
      </c>
      <c r="EG6" s="27">
        <v>0.937463098100768</v>
      </c>
      <c r="EH6" s="1">
        <v>1.03406299545054</v>
      </c>
      <c r="EI6" s="1">
        <v>1.11126077346304</v>
      </c>
      <c r="EJ6" s="1">
        <v>0.89884778973439405</v>
      </c>
      <c r="EK6" s="1">
        <v>1.01785715261215</v>
      </c>
      <c r="EL6" s="1">
        <v>0.92687487199808605</v>
      </c>
      <c r="EM6" s="1">
        <v>0.97036463273270301</v>
      </c>
      <c r="EN6" s="1">
        <v>1.0106433396523</v>
      </c>
      <c r="EO6" s="1">
        <v>1.0502078352205899</v>
      </c>
      <c r="EP6" s="1">
        <v>1.2432787092087401</v>
      </c>
      <c r="EQ6" s="1">
        <v>1.1406981890379599</v>
      </c>
      <c r="ER6" s="1">
        <v>1.12973469413439</v>
      </c>
      <c r="ES6" s="1">
        <v>0.96268185835895403</v>
      </c>
      <c r="ET6" s="1">
        <v>1.0395853094121901</v>
      </c>
      <c r="EU6" s="1">
        <v>0.95857940134897102</v>
      </c>
      <c r="EV6" s="1">
        <v>1.15840579246801</v>
      </c>
      <c r="EW6" s="1">
        <v>0.92411376357274599</v>
      </c>
      <c r="EX6" s="1">
        <v>1.04570658269837</v>
      </c>
      <c r="EY6" s="1">
        <v>1.00568232421659</v>
      </c>
      <c r="EZ6" s="1">
        <v>1.02005961809297</v>
      </c>
      <c r="FA6" s="1">
        <v>0.918027716155286</v>
      </c>
      <c r="FB6" s="1">
        <v>0.99038687581423701</v>
      </c>
      <c r="FC6" s="1">
        <v>0.96060984936861904</v>
      </c>
      <c r="FD6" s="1">
        <v>0.97147441451493699</v>
      </c>
      <c r="FE6" s="1">
        <v>1.04110575801531</v>
      </c>
      <c r="FF6" s="1">
        <v>0.85743869472941103</v>
      </c>
      <c r="FG6" s="1">
        <v>0.99977916862605998</v>
      </c>
      <c r="FH6" s="1">
        <v>0.98176907995860396</v>
      </c>
      <c r="FI6" s="1">
        <v>0.90058997550856501</v>
      </c>
      <c r="FJ6" s="1">
        <v>0.93741832092585697</v>
      </c>
      <c r="FK6" s="1">
        <v>0.86289650204804402</v>
      </c>
      <c r="FL6" s="1">
        <v>1.1316432034863899</v>
      </c>
      <c r="FM6" s="1">
        <v>1.0175120708084699</v>
      </c>
      <c r="FN6" s="1">
        <v>0.99062142148066901</v>
      </c>
      <c r="FO6" s="1">
        <v>1.06296640188509</v>
      </c>
      <c r="FP6" s="1">
        <v>0.99561210140405099</v>
      </c>
      <c r="FQ6" s="1">
        <v>1.03467573787859</v>
      </c>
      <c r="FR6" s="1">
        <v>1.05350356917259</v>
      </c>
      <c r="FS6" s="1">
        <v>0.92407970291645702</v>
      </c>
      <c r="FT6" s="1">
        <v>0.90218114450851905</v>
      </c>
      <c r="FU6" s="1">
        <v>0.91647189190422296</v>
      </c>
      <c r="FV6" s="1">
        <v>0.93096130046672798</v>
      </c>
      <c r="FW6" s="1">
        <v>1.07599931368151</v>
      </c>
      <c r="FX6" s="1">
        <v>1.08481199076312</v>
      </c>
      <c r="FY6" s="1">
        <v>0.86245111395999596</v>
      </c>
      <c r="FZ6" s="1">
        <v>1.1611896663380701</v>
      </c>
      <c r="GA6" s="1">
        <v>1.2289587725871001</v>
      </c>
      <c r="GB6" s="1">
        <v>0.95332708119241305</v>
      </c>
      <c r="GC6" s="1">
        <v>0.96083740355679903</v>
      </c>
      <c r="GD6" s="1">
        <v>1.0743989791583799</v>
      </c>
      <c r="GE6" s="1">
        <v>0.85185645090584505</v>
      </c>
      <c r="GF6" s="1">
        <v>0.98750213268865095</v>
      </c>
      <c r="GG6" s="1">
        <v>0.98832464304085299</v>
      </c>
      <c r="GH6" s="1">
        <v>1.0976341518184001</v>
      </c>
      <c r="GI6" s="1">
        <v>0.97949136672723403</v>
      </c>
      <c r="GJ6" s="1">
        <v>1.03074057646493</v>
      </c>
      <c r="GK6" s="1">
        <v>0.95431214862356595</v>
      </c>
      <c r="GL6" s="1">
        <v>1.0068535415967499</v>
      </c>
      <c r="GM6" s="1">
        <v>1.3146922960384699</v>
      </c>
      <c r="GN6" s="1">
        <v>1.0860373109505701</v>
      </c>
      <c r="GO6" s="1">
        <v>1.0371887408703599</v>
      </c>
      <c r="GP6" s="1">
        <v>1.0225421463512601</v>
      </c>
      <c r="GQ6" s="1">
        <v>1.0444408189905701</v>
      </c>
      <c r="GR6" s="1">
        <v>0.94166460562613397</v>
      </c>
      <c r="GS6" s="1">
        <v>0.91092644758506502</v>
      </c>
      <c r="GT6" s="1">
        <v>1.0483924936295601</v>
      </c>
      <c r="GU6" s="1">
        <v>1.0137559196360399</v>
      </c>
      <c r="GV6" s="1">
        <v>1.0020116112978099</v>
      </c>
      <c r="GW6" s="1">
        <v>0.97576992911875804</v>
      </c>
      <c r="GX6" s="1">
        <v>1.20564683838675</v>
      </c>
      <c r="GY6" s="1">
        <v>0.92723035229427198</v>
      </c>
      <c r="GZ6" s="1">
        <v>1.1322007984862199</v>
      </c>
      <c r="HA6" s="1">
        <v>0.94360036644504797</v>
      </c>
      <c r="HB6" s="1">
        <v>0.96548494150765696</v>
      </c>
      <c r="HC6" s="1">
        <v>1.0180399608211601</v>
      </c>
      <c r="HD6" s="1">
        <v>0.87757054826169201</v>
      </c>
      <c r="HE6" s="1">
        <v>0.89758568904950198</v>
      </c>
      <c r="HF6" s="1">
        <v>0.99526009936743998</v>
      </c>
      <c r="HG6" s="1">
        <v>1.0866212797471499</v>
      </c>
      <c r="HH6" s="1">
        <v>1.04556901788262</v>
      </c>
      <c r="HI6" s="1">
        <v>1.0533809351141701</v>
      </c>
      <c r="HJ6" s="1">
        <v>1.0151404362449901</v>
      </c>
      <c r="HK6" s="1">
        <v>0.90544065599041401</v>
      </c>
      <c r="HL6" s="1">
        <v>1.0623435806419901</v>
      </c>
      <c r="HM6" s="1">
        <v>0.97331276381832599</v>
      </c>
      <c r="HN6" s="1">
        <v>1.1026800290412599</v>
      </c>
      <c r="HO6" s="1">
        <v>0.97870894275877895</v>
      </c>
      <c r="HP6" s="1">
        <v>0.89404426073091403</v>
      </c>
      <c r="HQ6" s="1">
        <v>0.84283824729677703</v>
      </c>
      <c r="HR6" s="1">
        <v>1.20284200329441</v>
      </c>
      <c r="HS6" s="1">
        <v>1.1197776863045299</v>
      </c>
      <c r="HT6" s="1">
        <v>1.0011255183454999</v>
      </c>
      <c r="HU6" s="1">
        <v>1.0383452340922901</v>
      </c>
      <c r="HV6" s="1">
        <v>0.972711785244739</v>
      </c>
      <c r="HW6" s="1">
        <v>1.0417250401551601</v>
      </c>
      <c r="HX6" s="1">
        <v>0.93752947137643206</v>
      </c>
      <c r="HY6" s="1">
        <v>1.0342327919593599</v>
      </c>
      <c r="HZ6" s="1">
        <v>0.93601376890371601</v>
      </c>
      <c r="IA6" s="1">
        <v>0.94071283776738002</v>
      </c>
      <c r="IB6" s="1">
        <v>0.89460379724868699</v>
      </c>
      <c r="IC6" s="1">
        <v>1.02906515851903</v>
      </c>
      <c r="ID6" s="1">
        <v>1.04607779513335</v>
      </c>
      <c r="IE6" s="1">
        <v>0.97485112777001104</v>
      </c>
      <c r="IF6" s="1">
        <v>1.29607947849806</v>
      </c>
      <c r="IG6" s="1">
        <v>1.02938564087323</v>
      </c>
      <c r="IH6" s="1">
        <v>0.89949088625246898</v>
      </c>
      <c r="II6" s="1">
        <v>1.03886387697752</v>
      </c>
      <c r="IJ6" s="1">
        <v>1.0152931266348499</v>
      </c>
      <c r="IK6" s="1">
        <v>0.96331685884412099</v>
      </c>
      <c r="IL6" s="1">
        <v>1.0247103854559501</v>
      </c>
      <c r="IM6" s="1">
        <v>0.87237818461244898</v>
      </c>
      <c r="IN6" s="1">
        <v>1.02746616146808</v>
      </c>
      <c r="IO6" s="1">
        <v>1.01768242169246</v>
      </c>
      <c r="IP6" s="1">
        <v>1.038969134677</v>
      </c>
      <c r="IQ6" s="1">
        <v>1.0019469601678299</v>
      </c>
      <c r="IR6" s="1">
        <v>1.01237297251356</v>
      </c>
      <c r="IS6" s="1">
        <v>1.0128213127958099</v>
      </c>
      <c r="IT6" s="1">
        <v>1.0025692809502</v>
      </c>
      <c r="IU6" s="1">
        <v>1.00566206127415</v>
      </c>
      <c r="IV6" s="1">
        <v>0.97783707388072005</v>
      </c>
      <c r="IW6" s="1">
        <v>0.94744616809347304</v>
      </c>
      <c r="IX6" s="1">
        <v>0.86057517311244403</v>
      </c>
      <c r="IY6" s="1">
        <v>1.0802848650215799</v>
      </c>
      <c r="IZ6" s="1">
        <v>1.0796482185166101</v>
      </c>
      <c r="JA6" s="1">
        <v>1.1557583731016901</v>
      </c>
      <c r="JB6" s="1">
        <v>0.84394127181287903</v>
      </c>
      <c r="JC6" s="1">
        <v>0.96205223893595404</v>
      </c>
      <c r="JD6" s="1">
        <v>0.93745548795689204</v>
      </c>
      <c r="JE6" s="1">
        <v>0.92718797874597203</v>
      </c>
      <c r="JF6" s="1">
        <v>1.1146589275907499</v>
      </c>
      <c r="JG6" s="1">
        <v>0.99299064278517801</v>
      </c>
      <c r="JH6" s="1">
        <v>1.02349005471453</v>
      </c>
      <c r="JI6" s="1">
        <v>0.91492967057207697</v>
      </c>
      <c r="JJ6" s="1">
        <v>1.5083564479540601</v>
      </c>
      <c r="JK6" s="1">
        <v>0.90696457232886696</v>
      </c>
      <c r="JL6" s="1">
        <v>1.1690595584856101</v>
      </c>
      <c r="JM6" s="1">
        <v>1.0830989608695101</v>
      </c>
      <c r="JN6" s="1">
        <v>0.92753664828840099</v>
      </c>
      <c r="JO6" s="1">
        <v>0.98422877776970197</v>
      </c>
      <c r="JP6" s="1">
        <v>0.91134658701385196</v>
      </c>
      <c r="JQ6" s="1">
        <v>0.95706969663821095</v>
      </c>
      <c r="JR6" s="1">
        <v>0.960348806543322</v>
      </c>
      <c r="JS6" s="1">
        <v>0.99658094611592796</v>
      </c>
      <c r="JT6" s="1">
        <v>0.97844469150766999</v>
      </c>
      <c r="JU6" s="1">
        <v>0.975680560741914</v>
      </c>
      <c r="JV6" s="1">
        <v>0.93243458815039904</v>
      </c>
      <c r="JW6" s="1">
        <v>0.95040347675898396</v>
      </c>
      <c r="JX6" s="1">
        <v>1.06127866684279</v>
      </c>
      <c r="JY6" s="1">
        <v>0.95004876433409702</v>
      </c>
      <c r="JZ6" s="1">
        <v>0.98024822899383202</v>
      </c>
      <c r="KA6" s="1">
        <v>0.94205700951927696</v>
      </c>
      <c r="KB6" s="1">
        <v>0.97851957289004898</v>
      </c>
      <c r="KC6" s="1">
        <v>0.96203871693880105</v>
      </c>
      <c r="KD6" s="1">
        <v>1.0081820892220199</v>
      </c>
      <c r="KE6" s="1">
        <v>1.0921027140989801</v>
      </c>
      <c r="KF6" s="1">
        <v>1.1323922859247599</v>
      </c>
      <c r="KG6" s="1">
        <v>1.0118672056636</v>
      </c>
      <c r="KH6" s="1">
        <v>0.92401964716368901</v>
      </c>
      <c r="KI6" s="1">
        <v>0.966764613205918</v>
      </c>
      <c r="KJ6" s="1">
        <v>0.94217090310054297</v>
      </c>
      <c r="KK6" s="1">
        <v>0.95537874985132798</v>
      </c>
      <c r="KL6" s="1">
        <v>0.97683253347649801</v>
      </c>
      <c r="KM6" s="1">
        <v>0.92053815966889596</v>
      </c>
      <c r="KN6" s="1">
        <v>1.0926392517590999</v>
      </c>
      <c r="KO6" s="1">
        <v>1.03810448382047</v>
      </c>
      <c r="KP6" s="1">
        <v>1.07059653852615</v>
      </c>
      <c r="KQ6" s="1">
        <v>0.98275270835249495</v>
      </c>
      <c r="KR6" s="1">
        <v>1.0461182513394001</v>
      </c>
      <c r="KS6" s="1">
        <v>0.982382001556802</v>
      </c>
      <c r="KT6" s="1">
        <v>1.0277067615012601</v>
      </c>
      <c r="KU6" s="1">
        <v>1.03143249089786</v>
      </c>
      <c r="KV6" s="1">
        <v>0.99752038853353997</v>
      </c>
      <c r="KW6" s="1">
        <v>1.0699736682905601</v>
      </c>
      <c r="KX6" s="1">
        <v>1.0125063580234099</v>
      </c>
      <c r="KY6" s="1">
        <v>1.06804895741974</v>
      </c>
      <c r="KZ6" s="1">
        <v>0.99591694022112598</v>
      </c>
      <c r="LA6" s="1">
        <v>0.97312816796212398</v>
      </c>
      <c r="LB6" s="1">
        <v>0.94304202306309504</v>
      </c>
      <c r="LC6" s="1">
        <v>0.92190904325271605</v>
      </c>
      <c r="LD6" s="1">
        <v>0.97761989578421504</v>
      </c>
      <c r="LE6" s="1">
        <v>1.00539084531443</v>
      </c>
      <c r="LF6" s="1">
        <v>0.96291050662500199</v>
      </c>
      <c r="LG6" s="1">
        <v>0.88864512324823497</v>
      </c>
      <c r="LH6" s="1">
        <v>1.0448538404824701</v>
      </c>
      <c r="LI6" s="1">
        <v>1.0568726704732201</v>
      </c>
      <c r="LJ6" s="1">
        <v>0.93656611930521205</v>
      </c>
      <c r="LK6" s="1">
        <v>0.94377321933235603</v>
      </c>
      <c r="LL6" s="1">
        <v>1.0632996833603501</v>
      </c>
      <c r="LM6" s="1">
        <v>1.11899725660857</v>
      </c>
      <c r="LN6" s="1">
        <v>0.92461539067381004</v>
      </c>
      <c r="LO6" s="1">
        <v>1.0907364132559401</v>
      </c>
      <c r="LP6" s="1">
        <v>0.98705544100642695</v>
      </c>
      <c r="LQ6" s="1">
        <v>1.09994024649147</v>
      </c>
      <c r="LR6" s="1">
        <v>1.00971055166802</v>
      </c>
      <c r="LS6" s="1">
        <v>0.902889021422144</v>
      </c>
      <c r="LT6" s="1">
        <v>1.01147222209874</v>
      </c>
      <c r="LU6" s="1">
        <v>0.94724172321668398</v>
      </c>
      <c r="LV6" s="1">
        <v>1.0687478228449101</v>
      </c>
      <c r="LW6" s="1">
        <v>1.0480853119295801</v>
      </c>
      <c r="LX6" s="1">
        <v>1.10370031582623</v>
      </c>
      <c r="LY6" s="1">
        <v>0.97943069305000197</v>
      </c>
      <c r="LZ6" s="1">
        <v>0.92391540857731802</v>
      </c>
      <c r="MA6" s="1">
        <v>1.0150329099475199</v>
      </c>
      <c r="MB6" s="1">
        <v>0.85902403177461695</v>
      </c>
      <c r="MC6" s="1">
        <v>0.88551632523513901</v>
      </c>
      <c r="MD6" s="1">
        <v>1.04626023526212</v>
      </c>
      <c r="ME6" s="1">
        <v>0.92694902296264003</v>
      </c>
      <c r="MF6" s="1">
        <v>0.913018099986599</v>
      </c>
      <c r="MG6" s="1">
        <v>0.98696320661068904</v>
      </c>
      <c r="MH6" s="1">
        <v>1.0664824200073699</v>
      </c>
      <c r="MI6" s="1">
        <v>0.97494753620348396</v>
      </c>
      <c r="MJ6" s="1">
        <v>1.06865928783984</v>
      </c>
      <c r="MK6" s="1">
        <v>0.97836525026070797</v>
      </c>
      <c r="ML6" s="1">
        <v>0.92062151974615802</v>
      </c>
      <c r="MM6" s="1">
        <v>1.2270714188184999</v>
      </c>
      <c r="MN6" s="1">
        <v>0.99726437227870102</v>
      </c>
      <c r="MO6" s="1">
        <v>1.11849068961724</v>
      </c>
      <c r="MP6" s="1">
        <v>1.0813249043628701</v>
      </c>
      <c r="MQ6" s="1">
        <v>0.98604690755118096</v>
      </c>
      <c r="MR6" s="1">
        <v>0.96430535349588797</v>
      </c>
      <c r="MS6" s="1">
        <v>1.0697981340373</v>
      </c>
      <c r="MT6" s="1">
        <v>0.90112477921502299</v>
      </c>
      <c r="MU6" s="1">
        <v>0.96253489538639303</v>
      </c>
      <c r="MV6" s="1">
        <v>1.0401452382269101</v>
      </c>
      <c r="MW6" s="1">
        <v>0.946899248568569</v>
      </c>
      <c r="MX6" s="1">
        <v>0.938624572310926</v>
      </c>
      <c r="MY6" s="1">
        <v>1.1076940832694799</v>
      </c>
      <c r="MZ6" s="1">
        <v>0.99205044489314398</v>
      </c>
      <c r="NA6" s="1">
        <v>0.89285879707888904</v>
      </c>
      <c r="NB6" s="1">
        <v>1.0193982167412601</v>
      </c>
      <c r="NC6" s="1">
        <v>0.99029578192102297</v>
      </c>
      <c r="ND6" s="1">
        <v>1.09680359904257</v>
      </c>
      <c r="NE6" s="1">
        <v>0.94570480567856596</v>
      </c>
      <c r="NF6" s="1">
        <v>0.88563824513605505</v>
      </c>
      <c r="NG6" s="1">
        <v>0.85651369696788104</v>
      </c>
      <c r="NH6" s="1">
        <v>1.04235660498348</v>
      </c>
      <c r="NI6" s="1">
        <v>0.97454294430695898</v>
      </c>
      <c r="NJ6" s="1">
        <v>0.96332713936488901</v>
      </c>
      <c r="NK6" s="1">
        <v>0.98223763331384595</v>
      </c>
      <c r="NL6" s="1">
        <v>0.99254322789842597</v>
      </c>
      <c r="NM6" s="1">
        <v>0.92577945469863299</v>
      </c>
      <c r="NN6" s="1">
        <v>0.910904446410847</v>
      </c>
      <c r="NO6" s="1">
        <v>1.1088624695590401</v>
      </c>
      <c r="NP6" s="1">
        <v>0.99136052456466595</v>
      </c>
      <c r="NQ6" s="1">
        <v>1.0785902856276799</v>
      </c>
      <c r="NR6" s="1">
        <v>0.98926370583975798</v>
      </c>
      <c r="NS6" s="1">
        <v>0.98398166296773903</v>
      </c>
      <c r="NT6" s="1">
        <v>0.91875055666716099</v>
      </c>
      <c r="NU6" s="1">
        <v>0.93286417414095002</v>
      </c>
      <c r="NV6" s="1">
        <v>0.92165232300228594</v>
      </c>
      <c r="NW6" s="1">
        <v>0.97369958712761595</v>
      </c>
      <c r="NX6" s="1">
        <v>0.98367500722743795</v>
      </c>
      <c r="NY6" s="1">
        <v>0.86966088925177598</v>
      </c>
      <c r="NZ6" s="1">
        <v>1.0074186488124901</v>
      </c>
      <c r="OA6" s="1">
        <v>0.92605044504150202</v>
      </c>
      <c r="OB6" s="1">
        <v>0.89782311355890998</v>
      </c>
      <c r="OC6" s="1">
        <v>0.99734785539622295</v>
      </c>
      <c r="OD6" s="1">
        <v>0.93265762890295301</v>
      </c>
      <c r="OE6" s="1">
        <v>0.91613243008972101</v>
      </c>
      <c r="OF6" s="1">
        <v>1.02972653074064</v>
      </c>
      <c r="OG6" s="1">
        <v>0.931595821835279</v>
      </c>
      <c r="OH6" s="1">
        <v>0.96687181064164496</v>
      </c>
      <c r="OI6" s="1">
        <v>0.96838851895769595</v>
      </c>
      <c r="OJ6" s="1">
        <v>0.96959022197549705</v>
      </c>
      <c r="OK6" s="1">
        <v>0.97554958767903199</v>
      </c>
      <c r="OL6" s="1">
        <v>0.92048262374107603</v>
      </c>
      <c r="OM6" s="1">
        <v>1.0776543478071301</v>
      </c>
      <c r="ON6" s="1">
        <v>1.1410786044427199</v>
      </c>
      <c r="OO6" s="1">
        <v>0.99546558842063404</v>
      </c>
      <c r="OP6" s="1">
        <v>0.97921312002007799</v>
      </c>
      <c r="OQ6" s="1">
        <v>0.93203675819282095</v>
      </c>
      <c r="OR6" s="1">
        <v>0.90728893555032097</v>
      </c>
      <c r="OS6" s="1">
        <v>0.97066020205077297</v>
      </c>
      <c r="OT6" s="1">
        <v>1.11333780903993</v>
      </c>
      <c r="OU6" s="1">
        <v>1.07761013809569</v>
      </c>
      <c r="OV6" s="1">
        <v>0.978075487576336</v>
      </c>
      <c r="OW6" s="1">
        <v>1.0527572671916301</v>
      </c>
      <c r="OX6" s="1">
        <v>1.0105224777091</v>
      </c>
      <c r="OY6" s="1">
        <v>1.1005595502292</v>
      </c>
      <c r="OZ6" s="1">
        <v>1.0036962159112</v>
      </c>
      <c r="PA6" s="1">
        <v>0.98867336072524103</v>
      </c>
      <c r="PB6" s="1">
        <v>1.00698416329234</v>
      </c>
      <c r="PC6" s="1">
        <v>1.0003590368323101</v>
      </c>
      <c r="PD6" s="1">
        <v>0.98912571832146001</v>
      </c>
      <c r="PE6" s="1">
        <v>0.87317791022392699</v>
      </c>
      <c r="PF6" s="1">
        <v>0.92876609656695297</v>
      </c>
      <c r="PG6" s="1">
        <v>0.92478823369199603</v>
      </c>
      <c r="PH6" s="1">
        <v>1.02904137216198</v>
      </c>
      <c r="PI6" s="1">
        <v>0.99969681051784098</v>
      </c>
      <c r="PJ6" s="1">
        <v>1.04997152138342</v>
      </c>
      <c r="PK6" s="1">
        <v>0.90756798318104603</v>
      </c>
      <c r="PL6" s="1">
        <v>1.02337238436217</v>
      </c>
      <c r="PM6" s="1">
        <v>0.90824597339978896</v>
      </c>
      <c r="PN6" s="1">
        <v>0.94682532783460605</v>
      </c>
      <c r="PO6" s="1">
        <v>0.980045126697211</v>
      </c>
      <c r="PP6" s="1">
        <v>0.92561828705222704</v>
      </c>
      <c r="PQ6" s="1">
        <v>1.25753038855306</v>
      </c>
      <c r="PR6" s="1">
        <v>1.0206646046896699</v>
      </c>
      <c r="PS6" s="1">
        <v>0.94084452953210396</v>
      </c>
      <c r="PT6" s="1">
        <v>1.1561761787409299</v>
      </c>
      <c r="PU6" s="1">
        <v>0.88376040371442199</v>
      </c>
      <c r="PV6" s="1">
        <v>0.920895765191451</v>
      </c>
      <c r="PW6" s="1">
        <v>1.03593070003052</v>
      </c>
      <c r="PX6" s="1">
        <v>1.0137739210606</v>
      </c>
      <c r="PY6" s="1">
        <v>0.94691747997556197</v>
      </c>
      <c r="PZ6" s="1">
        <v>1.0701054909212799</v>
      </c>
      <c r="QA6" s="1">
        <v>0.88673249518640296</v>
      </c>
      <c r="QB6" s="1">
        <v>1.08984719602309</v>
      </c>
      <c r="QC6" s="1">
        <v>1.0432701430749001</v>
      </c>
      <c r="QD6" s="1">
        <v>1.0509621647748699</v>
      </c>
      <c r="QE6" s="1">
        <v>1.1530133705188399</v>
      </c>
      <c r="QF6" s="1">
        <v>1.31102577149688</v>
      </c>
      <c r="QG6" s="1">
        <v>0.93040866034381398</v>
      </c>
      <c r="QH6" s="1">
        <v>0.99537366430261298</v>
      </c>
      <c r="QI6" s="1">
        <v>0.96709882754152998</v>
      </c>
      <c r="QJ6" s="1">
        <v>1.01359675004419</v>
      </c>
      <c r="QK6" s="1">
        <v>1.0972049827712</v>
      </c>
      <c r="QL6" s="1">
        <v>0.94165940630078504</v>
      </c>
      <c r="QM6" s="1">
        <v>0.97853788832542499</v>
      </c>
      <c r="QN6" s="1">
        <v>0.99769501411813999</v>
      </c>
      <c r="QO6" s="1">
        <v>0.955673500227327</v>
      </c>
      <c r="QP6" s="1">
        <v>1.2101999761853099</v>
      </c>
      <c r="QQ6" s="1">
        <v>0.95180532862303302</v>
      </c>
      <c r="QR6" s="1">
        <v>0.98944093705424196</v>
      </c>
      <c r="QS6" s="1">
        <v>0.95098910708434803</v>
      </c>
      <c r="QT6" s="1">
        <v>0.93304434906221101</v>
      </c>
      <c r="QU6" s="1">
        <v>0.97983320931617002</v>
      </c>
      <c r="QV6" s="1">
        <v>0.99023828092191701</v>
      </c>
      <c r="QW6" s="1">
        <v>0.89823982718972195</v>
      </c>
      <c r="QX6" s="1">
        <v>0.96013175765555503</v>
      </c>
      <c r="QY6" s="1">
        <v>1.0066195489779599</v>
      </c>
      <c r="QZ6" s="1">
        <v>0.95248669844352996</v>
      </c>
      <c r="RA6" s="1">
        <v>0.95819551394237001</v>
      </c>
      <c r="RB6" s="1">
        <v>1.1336775347535</v>
      </c>
      <c r="RC6" s="1">
        <v>0.91036243271778805</v>
      </c>
      <c r="RD6" s="1">
        <v>1.0466337500207801</v>
      </c>
      <c r="RE6" s="1">
        <v>0.95541308965634197</v>
      </c>
      <c r="RF6" s="1">
        <v>1.05629268382685</v>
      </c>
      <c r="RG6" s="1">
        <v>1.09117994962952</v>
      </c>
      <c r="RH6" s="1">
        <v>0.91880220890263697</v>
      </c>
      <c r="RI6" s="1">
        <v>0.95890366953501605</v>
      </c>
      <c r="RJ6" s="1">
        <v>1.03702135466778</v>
      </c>
      <c r="RK6" s="1">
        <v>0.99324611671902496</v>
      </c>
      <c r="RL6" s="1">
        <v>1.00032610876799</v>
      </c>
      <c r="RM6" s="1">
        <v>0.91260875802209396</v>
      </c>
      <c r="RN6" s="1">
        <v>1.04563517445006</v>
      </c>
      <c r="RO6" s="1">
        <v>1.0565424281776701</v>
      </c>
      <c r="RP6" s="1">
        <v>0.96722146357097705</v>
      </c>
      <c r="RQ6" s="1">
        <v>1.0029097084461001</v>
      </c>
      <c r="RR6" s="1">
        <v>0.95798739006219602</v>
      </c>
      <c r="RS6" s="1">
        <v>0.88811912634456802</v>
      </c>
      <c r="RT6" s="1">
        <v>0.94145291854017099</v>
      </c>
      <c r="RU6" s="1">
        <v>1.05578269533503</v>
      </c>
      <c r="RV6" s="1">
        <v>0.94065677046676599</v>
      </c>
      <c r="RW6" s="1">
        <v>0.95763544174196202</v>
      </c>
      <c r="RX6" s="1">
        <v>1.0418927502853299</v>
      </c>
      <c r="RY6" s="1">
        <v>1.0670046878264801</v>
      </c>
      <c r="RZ6" s="1">
        <v>0.94198465855908997</v>
      </c>
      <c r="SA6" s="1">
        <v>1.0258499254840601</v>
      </c>
      <c r="SB6" s="1">
        <v>0.94870195578849104</v>
      </c>
      <c r="SC6" s="1">
        <v>0.98581459148833195</v>
      </c>
      <c r="SD6" s="1">
        <v>0.86973547296700904</v>
      </c>
      <c r="SE6" s="1">
        <v>1.0102803995815399</v>
      </c>
      <c r="SF6" s="1">
        <v>1.0863416182413901</v>
      </c>
      <c r="SG6" s="1">
        <v>0.99962735574597095</v>
      </c>
      <c r="SH6" s="1">
        <v>1.0255726525372399</v>
      </c>
      <c r="SI6" s="1">
        <v>1.05672077228088</v>
      </c>
      <c r="SJ6" s="1">
        <v>1.0507168907348099</v>
      </c>
      <c r="SK6" s="1">
        <v>0.99928575579446999</v>
      </c>
      <c r="SL6" s="1">
        <v>0.95986857665765002</v>
      </c>
      <c r="SM6" s="1">
        <v>0.98223565394808399</v>
      </c>
      <c r="SN6" s="1">
        <v>1.1386768023873099</v>
      </c>
      <c r="SO6" s="1">
        <v>0.93350010283096696</v>
      </c>
      <c r="SP6" s="1">
        <v>1.0082937560873899</v>
      </c>
      <c r="SQ6" s="1">
        <v>0.96718403104289896</v>
      </c>
      <c r="SR6" s="1">
        <v>0.96868103239506598</v>
      </c>
      <c r="SS6" s="1">
        <v>0.99838083708297398</v>
      </c>
      <c r="ST6" s="1">
        <v>0.95464182823464405</v>
      </c>
      <c r="SU6" s="1">
        <v>0.86718537294684095</v>
      </c>
      <c r="SV6" s="1">
        <v>1.13654299190981</v>
      </c>
      <c r="SW6" s="1">
        <v>0.935218449750158</v>
      </c>
      <c r="SX6" s="1">
        <v>1.14773930602254</v>
      </c>
      <c r="SY6" s="1">
        <v>0.95964671212004005</v>
      </c>
      <c r="SZ6" s="1">
        <v>1.0489349402847501</v>
      </c>
      <c r="TA6" s="1">
        <v>0.95416406250297303</v>
      </c>
      <c r="TB6" s="1">
        <v>0.88684450585529395</v>
      </c>
      <c r="TC6" s="1">
        <v>1.0554682482983599</v>
      </c>
      <c r="TD6" s="1">
        <v>0.957301259301229</v>
      </c>
      <c r="TE6" s="1">
        <v>1.2313603046169299</v>
      </c>
      <c r="TF6" s="1">
        <v>0.91629787384186201</v>
      </c>
      <c r="TG6" s="1">
        <v>0.94195029065442704</v>
      </c>
      <c r="TH6" s="1">
        <v>1.0336365950024</v>
      </c>
      <c r="TI6" s="1">
        <v>0.88602872366213203</v>
      </c>
      <c r="TJ6" s="1">
        <v>1.10346976768001</v>
      </c>
      <c r="TK6" s="1">
        <v>0.91337636964885105</v>
      </c>
      <c r="TL6" s="1">
        <v>0.88972447781348296</v>
      </c>
      <c r="TM6" s="1">
        <v>0.95474631600994397</v>
      </c>
      <c r="TN6" s="1">
        <v>1.0036104886393999</v>
      </c>
      <c r="TO6" s="1">
        <v>0.972852827967844</v>
      </c>
      <c r="TP6" s="1">
        <v>0.90991859785868101</v>
      </c>
      <c r="TQ6" s="1">
        <v>0.85798301604040506</v>
      </c>
    </row>
    <row r="7" spans="1:537" x14ac:dyDescent="0.3">
      <c r="A7" s="28"/>
      <c r="B7" s="28"/>
      <c r="C7" s="28"/>
      <c r="D7" s="28"/>
      <c r="E7" s="14"/>
      <c r="F7" s="14"/>
      <c r="H7" s="19" t="s">
        <v>83</v>
      </c>
      <c r="I7" s="19" t="s">
        <v>10</v>
      </c>
      <c r="J7" s="26">
        <f t="shared" ref="J7:J18" si="5">K7/$I$3</f>
        <v>2.0873053490931604E-3</v>
      </c>
      <c r="K7" s="20">
        <v>6.0300064299999998E-2</v>
      </c>
      <c r="L7" s="5"/>
      <c r="M7" s="19" t="s">
        <v>83</v>
      </c>
      <c r="N7" s="19" t="s">
        <v>10</v>
      </c>
      <c r="O7" s="26">
        <f t="shared" ref="O7:O18" si="6">P7/$P$18</f>
        <v>1.0551256564430278E-3</v>
      </c>
      <c r="P7" s="20">
        <f t="shared" ref="P7:P16" si="7">K7*(1-AG3)</f>
        <v>2.6757111923914324E-2</v>
      </c>
      <c r="Q7" s="5"/>
      <c r="R7" s="19" t="s">
        <v>83</v>
      </c>
      <c r="S7" s="19" t="s">
        <v>10</v>
      </c>
      <c r="T7" s="26">
        <f t="shared" ref="T7:T17" si="8">U7/$U$18</f>
        <v>3.2774641561903292E-3</v>
      </c>
      <c r="U7" s="20">
        <f t="shared" ref="U7:U17" si="9">K7*(1+AH3)</f>
        <v>0.11128919785907597</v>
      </c>
      <c r="AF7" s="1" t="s">
        <v>79</v>
      </c>
      <c r="AG7" s="15">
        <f t="shared" si="0"/>
        <v>0.31286236579228616</v>
      </c>
      <c r="AH7" s="16">
        <f t="shared" si="1"/>
        <v>0.24749009078126172</v>
      </c>
      <c r="AI7" s="1">
        <f t="shared" si="2"/>
        <v>2.8446711032378893</v>
      </c>
      <c r="AJ7" s="6">
        <f t="shared" si="3"/>
        <v>3.734661634497848</v>
      </c>
      <c r="AK7" s="17">
        <f t="shared" si="4"/>
        <v>2.1406431936547121</v>
      </c>
      <c r="AL7" s="1">
        <v>-2.6014739242498899</v>
      </c>
      <c r="AM7" s="1">
        <v>-3.90991821353325</v>
      </c>
      <c r="AN7" s="1">
        <v>-3.0708399886347499</v>
      </c>
      <c r="AO7" s="6">
        <v>-3.6246654603517201</v>
      </c>
      <c r="AP7" s="6">
        <v>-2.8254440522472501</v>
      </c>
      <c r="AQ7" s="6">
        <v>-2.9573339217922499</v>
      </c>
      <c r="AR7" s="6">
        <v>-2.9361698813395898</v>
      </c>
      <c r="AS7" s="6">
        <v>-2.6833826009155302</v>
      </c>
      <c r="AT7" s="6">
        <v>-2.71956571513538</v>
      </c>
      <c r="AU7" s="6">
        <v>-2.8269234661884401</v>
      </c>
      <c r="AV7" s="6">
        <v>-2.0997074645245402</v>
      </c>
      <c r="AW7" s="6">
        <v>-2.8267998172519802</v>
      </c>
      <c r="AX7" s="6">
        <v>-2.6948323837297599</v>
      </c>
      <c r="AY7" s="6">
        <v>-2.3470532771932202</v>
      </c>
      <c r="AZ7" s="6">
        <v>-2.4234878059509999</v>
      </c>
      <c r="BA7" s="6">
        <v>-2.8992262026134599</v>
      </c>
      <c r="BB7" s="6">
        <v>-3.5616457394604502</v>
      </c>
      <c r="BC7" s="6">
        <v>-2.7233600642220899</v>
      </c>
      <c r="BD7" s="6">
        <v>-3.2895619003952401</v>
      </c>
      <c r="BE7" s="6">
        <v>-3.00693156655311</v>
      </c>
      <c r="BF7" s="6">
        <v>-3.18537400312333</v>
      </c>
      <c r="BG7" s="6">
        <v>-3.0509076141245202</v>
      </c>
      <c r="BH7" s="6">
        <v>-2.7094521681363601</v>
      </c>
      <c r="BI7" s="6">
        <v>-2.1788426271599501</v>
      </c>
      <c r="BJ7" s="6">
        <v>-2.72728215457462</v>
      </c>
      <c r="BK7" s="6">
        <v>-1.9551989890788899</v>
      </c>
      <c r="BL7" s="6">
        <v>-3.0449215636693299</v>
      </c>
      <c r="BM7" s="6">
        <v>-5.5912272629250896</v>
      </c>
      <c r="BN7" s="6">
        <v>-2.4749900578516</v>
      </c>
      <c r="BO7" s="6">
        <v>-2.2586625450387401</v>
      </c>
      <c r="BP7" s="6">
        <v>-2.9453037908127202</v>
      </c>
      <c r="BQ7" s="6">
        <v>-2.0893731760190799</v>
      </c>
      <c r="BR7" s="6">
        <v>-2.29744712035055</v>
      </c>
      <c r="BS7" s="6">
        <v>-2.8266520292588799</v>
      </c>
      <c r="BT7" s="6">
        <v>-2.5434748942605299</v>
      </c>
      <c r="BU7" s="6">
        <v>-3.1846327709440199</v>
      </c>
      <c r="BV7" s="6">
        <v>-3.3613310390624598</v>
      </c>
      <c r="BW7" s="6">
        <v>-3.24549797530578</v>
      </c>
      <c r="BX7" s="6">
        <v>-2.3488186325106102</v>
      </c>
      <c r="BY7" s="6">
        <v>-3.01939983035756</v>
      </c>
      <c r="BZ7" s="6">
        <v>-2.7948611166310702</v>
      </c>
      <c r="CA7" s="6">
        <v>-2.4538474629138598</v>
      </c>
      <c r="CB7" s="6">
        <v>-2.8998690403409002</v>
      </c>
      <c r="CC7" s="6">
        <v>-3.4615765979031599</v>
      </c>
      <c r="CD7" s="6">
        <v>-3.2940614438386899</v>
      </c>
      <c r="CE7" s="6">
        <v>-3.7636484470488698</v>
      </c>
      <c r="CF7" s="6">
        <v>-2.7481109641277</v>
      </c>
      <c r="CG7" s="6">
        <v>-3.4978864860230301</v>
      </c>
      <c r="CH7" s="6">
        <v>-2.5866793030872199</v>
      </c>
      <c r="CI7" s="6">
        <v>-3.6498286609482702</v>
      </c>
      <c r="CJ7" s="6">
        <v>-2.94035889188096</v>
      </c>
      <c r="CK7" s="6">
        <v>-2.76318714733307</v>
      </c>
      <c r="CL7" s="6">
        <v>-2.6134553089912602</v>
      </c>
      <c r="CM7" s="6">
        <v>-2.7661544223697101</v>
      </c>
      <c r="CN7" s="6">
        <v>-3.26654375018845</v>
      </c>
      <c r="CO7" s="6">
        <v>-3.80084915440115</v>
      </c>
      <c r="CP7" s="6">
        <v>-2.2595657072200601</v>
      </c>
      <c r="CQ7" s="6">
        <v>-2.5702040135492501</v>
      </c>
      <c r="CR7" s="6">
        <v>-2.65381740366576</v>
      </c>
      <c r="CS7" s="6">
        <v>-3.1912189285407502</v>
      </c>
      <c r="CT7" s="6">
        <v>-2.4502069572807401</v>
      </c>
      <c r="CU7" s="6">
        <v>-2.2421668237920298</v>
      </c>
      <c r="CV7" s="6">
        <v>-4.6333310217366197</v>
      </c>
      <c r="CW7" s="6">
        <v>-2.6428403692935998</v>
      </c>
      <c r="CX7" s="6">
        <v>-3.07117539983303</v>
      </c>
      <c r="CY7" s="6">
        <v>-2.5366003048175001</v>
      </c>
      <c r="CZ7" s="6">
        <v>-3.3066898471435899</v>
      </c>
      <c r="DA7" s="6">
        <v>-2.7846816891316299</v>
      </c>
      <c r="DB7" s="6">
        <v>-2.8137067890129601</v>
      </c>
      <c r="DC7" s="6">
        <v>-2.4205021148109598</v>
      </c>
      <c r="DD7" s="6">
        <v>-3.0072107929801501</v>
      </c>
      <c r="DE7" s="6">
        <v>-2.3158326939712901</v>
      </c>
      <c r="DF7" s="6">
        <v>-2.7716306557485</v>
      </c>
      <c r="DG7" s="6">
        <v>-3.1766673375916401</v>
      </c>
      <c r="DH7" s="6">
        <v>-2.94115237120005</v>
      </c>
      <c r="DI7" s="6">
        <v>-2.2446787450828198</v>
      </c>
      <c r="DJ7" s="6">
        <v>-2.9344268812349901</v>
      </c>
      <c r="DK7" s="6">
        <v>-2.7171054954345801</v>
      </c>
      <c r="DL7" s="6">
        <v>-3.2910108653467902</v>
      </c>
      <c r="DM7" s="6">
        <v>-2.6506410153841</v>
      </c>
      <c r="DN7" s="6">
        <v>-2.86325510023739</v>
      </c>
      <c r="DO7" s="6">
        <v>-2.6624071327039101</v>
      </c>
      <c r="DP7" s="6">
        <v>-2.5156519038461602</v>
      </c>
      <c r="DQ7" s="6">
        <v>-2.99222392423302</v>
      </c>
      <c r="DR7" s="6">
        <v>-2.8580498754175498</v>
      </c>
      <c r="DS7" s="6">
        <v>-2.3806584588747901</v>
      </c>
      <c r="DT7" s="6">
        <v>-3.21693074125234</v>
      </c>
      <c r="DU7" s="6">
        <v>-2.44871261450134</v>
      </c>
      <c r="DV7" s="6">
        <v>-2.5356552471542599</v>
      </c>
      <c r="DW7" s="6">
        <v>-3.0750743058549102</v>
      </c>
      <c r="DX7" s="6">
        <v>-2.1969204169626599</v>
      </c>
      <c r="DY7" s="6">
        <v>-2.4850495658974698</v>
      </c>
      <c r="DZ7" s="6">
        <v>-3.8904482616704898</v>
      </c>
      <c r="EA7" s="6">
        <v>-3.0220133124890598</v>
      </c>
      <c r="EB7" s="6">
        <v>-2.9227162764930101</v>
      </c>
      <c r="EC7" s="6">
        <v>-2.47008133568939</v>
      </c>
      <c r="ED7" s="6">
        <v>-2.8529581577535299</v>
      </c>
      <c r="EE7" s="6">
        <v>-2.48423307198627</v>
      </c>
      <c r="EF7" s="6">
        <v>-3.73808155438127</v>
      </c>
      <c r="EG7" s="6">
        <v>-3.3393959139285099</v>
      </c>
      <c r="EH7" s="6">
        <v>-2.0981734061949999</v>
      </c>
      <c r="EI7" s="6">
        <v>-2.9959786634712899</v>
      </c>
      <c r="EJ7" s="6">
        <v>-2.52838987927346</v>
      </c>
      <c r="EK7" s="6">
        <v>-3.0309854373023599</v>
      </c>
      <c r="EL7" s="6">
        <v>-3.1380242905826301</v>
      </c>
      <c r="EM7" s="6">
        <v>-3.3056193649778498</v>
      </c>
      <c r="EN7" s="6">
        <v>-2.25535038431057</v>
      </c>
      <c r="EO7" s="6">
        <v>-2.7860630955885202</v>
      </c>
      <c r="EP7" s="6">
        <v>-3.4799848621186098</v>
      </c>
      <c r="EQ7" s="6">
        <v>-2.74900663497356</v>
      </c>
      <c r="ER7" s="6">
        <v>-2.81289444070091</v>
      </c>
      <c r="ES7" s="6">
        <v>-3.2172442806190098</v>
      </c>
      <c r="ET7" s="6">
        <v>-3.1916084243459601</v>
      </c>
      <c r="EU7" s="6">
        <v>-2.2486385497031098</v>
      </c>
      <c r="EV7" s="6">
        <v>-3.142081747602</v>
      </c>
      <c r="EW7" s="6">
        <v>-4.3912254617599702</v>
      </c>
      <c r="EX7" s="6">
        <v>-2.6167344529043701</v>
      </c>
      <c r="EY7" s="6">
        <v>-2.4056944153211601</v>
      </c>
      <c r="EZ7" s="6">
        <v>-2.1962327409833202</v>
      </c>
      <c r="FA7" s="6">
        <v>-3.0529345068597098</v>
      </c>
      <c r="FB7" s="6">
        <v>-3.0321223797605801</v>
      </c>
      <c r="FC7" s="6">
        <v>-2.5392337043111599</v>
      </c>
      <c r="FD7" s="6">
        <v>-2.7891312727610398</v>
      </c>
      <c r="FE7" s="6">
        <v>-2.1943935577309399</v>
      </c>
      <c r="FF7" s="6">
        <v>-2.8349147386820199</v>
      </c>
      <c r="FG7" s="6">
        <v>-2.8994840937895798</v>
      </c>
      <c r="FH7" s="6">
        <v>-4.33061468677134</v>
      </c>
      <c r="FI7" s="6">
        <v>-2.5248183849603398</v>
      </c>
      <c r="FJ7" s="6">
        <v>-2.4699144944413902</v>
      </c>
      <c r="FK7" s="6">
        <v>-3.0705932342294999</v>
      </c>
      <c r="FL7" s="6">
        <v>-2.7947179127931898</v>
      </c>
      <c r="FM7" s="6">
        <v>-2.5469770768927802</v>
      </c>
      <c r="FN7" s="6">
        <v>-2.6381719143501798</v>
      </c>
      <c r="FO7" s="6">
        <v>-3.4107793949230301</v>
      </c>
      <c r="FP7" s="6">
        <v>-2.9860078642368202</v>
      </c>
      <c r="FQ7" s="6">
        <v>-2.5257365196264701</v>
      </c>
      <c r="FR7" s="6">
        <v>-2.2737807729178501</v>
      </c>
      <c r="FS7" s="6">
        <v>-2.9110138230547999</v>
      </c>
      <c r="FT7" s="6">
        <v>-6.1864016943531599</v>
      </c>
      <c r="FU7" s="6">
        <v>-2.4425371343186</v>
      </c>
      <c r="FV7" s="6">
        <v>-2.8788124336954901</v>
      </c>
      <c r="FW7" s="6">
        <v>-3.8104532141505301</v>
      </c>
      <c r="FX7" s="6">
        <v>-2.59793055261706</v>
      </c>
      <c r="FY7" s="6">
        <v>-2.42280226544452</v>
      </c>
      <c r="FZ7" s="6">
        <v>-3.4704234247538599</v>
      </c>
      <c r="GA7" s="6">
        <v>-2.9146894840358102</v>
      </c>
      <c r="GB7" s="6">
        <v>-2.5929566077540001</v>
      </c>
      <c r="GC7" s="6">
        <v>-3.3395911263291</v>
      </c>
      <c r="GD7" s="6">
        <v>-2.29954436257279</v>
      </c>
      <c r="GE7" s="6">
        <v>-2.4620700010837502</v>
      </c>
      <c r="GF7" s="6">
        <v>-2.6764464844365299</v>
      </c>
      <c r="GG7" s="6">
        <v>-2.7099999975045401</v>
      </c>
      <c r="GH7" s="6">
        <v>-2.7694688276096602</v>
      </c>
      <c r="GI7" s="6">
        <v>-2.4716580471685199</v>
      </c>
      <c r="GJ7" s="6">
        <v>-2.7289998146821701</v>
      </c>
      <c r="GK7" s="6">
        <v>-2.39936717328768</v>
      </c>
      <c r="GL7" s="6">
        <v>-2.6307021872536098</v>
      </c>
      <c r="GM7" s="6">
        <v>-2.8420098595271699</v>
      </c>
      <c r="GN7" s="6">
        <v>-2.7687281790407399</v>
      </c>
      <c r="GO7" s="6">
        <v>-3.1964128821031399</v>
      </c>
      <c r="GP7" s="6">
        <v>-3.5414402083635701</v>
      </c>
      <c r="GQ7" s="6">
        <v>-3.64559670931295</v>
      </c>
      <c r="GR7" s="6">
        <v>-2.8925717335377001</v>
      </c>
      <c r="GS7" s="6">
        <v>-3.1850652198790401</v>
      </c>
      <c r="GT7" s="6">
        <v>-2.9554896372269801</v>
      </c>
      <c r="GU7" s="6">
        <v>-2.4149919143016301</v>
      </c>
      <c r="GV7" s="6">
        <v>-3.1543359679361598</v>
      </c>
      <c r="GW7" s="6">
        <v>-2.9879599747342702</v>
      </c>
      <c r="GX7" s="6">
        <v>-2.88995616456257</v>
      </c>
      <c r="GY7" s="6">
        <v>-2.40381793474354</v>
      </c>
      <c r="GZ7" s="6">
        <v>-3.0058826294322598</v>
      </c>
      <c r="HA7" s="6">
        <v>-3.17444326567604</v>
      </c>
      <c r="HB7" s="6">
        <v>-2.7628339158889301</v>
      </c>
      <c r="HC7" s="6">
        <v>-2.8298106754594801</v>
      </c>
      <c r="HD7" s="6">
        <v>-2.1208518571422998</v>
      </c>
      <c r="HE7" s="6">
        <v>-2.9251470756670899</v>
      </c>
      <c r="HF7" s="6">
        <v>-3.7974486918631398</v>
      </c>
      <c r="HG7" s="6">
        <v>-2.1014981087927498</v>
      </c>
      <c r="HH7" s="6">
        <v>-2.7441327509982898</v>
      </c>
      <c r="HI7" s="6">
        <v>-2.77110709882832</v>
      </c>
      <c r="HJ7" s="6">
        <v>-4.2701799741361803</v>
      </c>
      <c r="HK7" s="6">
        <v>-2.2362334887864401</v>
      </c>
      <c r="HL7" s="6">
        <v>-3.0570219193445198</v>
      </c>
      <c r="HM7" s="6">
        <v>-2.8144452512724301</v>
      </c>
      <c r="HN7" s="6">
        <v>-2.65168555317732</v>
      </c>
      <c r="HO7" s="6">
        <v>-2.6265173743960499</v>
      </c>
      <c r="HP7" s="6">
        <v>-2.3902053974647801</v>
      </c>
      <c r="HQ7" s="6">
        <v>-2.8871140057995102</v>
      </c>
      <c r="HR7" s="6">
        <v>-3.0124457635629698</v>
      </c>
      <c r="HS7" s="6">
        <v>-2.6018004577816201</v>
      </c>
      <c r="HT7" s="6">
        <v>-2.45146286511517</v>
      </c>
      <c r="HU7" s="6">
        <v>-2.8423673205657201</v>
      </c>
      <c r="HV7" s="6">
        <v>-2.66416239816584</v>
      </c>
      <c r="HW7" s="6">
        <v>-2.5567998745267402</v>
      </c>
      <c r="HX7" s="6">
        <v>-2.2451642960361098</v>
      </c>
      <c r="HY7" s="6">
        <v>-3.9660270410801699</v>
      </c>
      <c r="HZ7" s="6">
        <v>-2.1083306854600101</v>
      </c>
      <c r="IA7" s="6">
        <v>-3.4242330972049899</v>
      </c>
      <c r="IB7" s="6">
        <v>-2.4748390815448</v>
      </c>
      <c r="IC7" s="6">
        <v>-2.2997135017963899</v>
      </c>
      <c r="ID7" s="6">
        <v>-2.9509719271545598</v>
      </c>
      <c r="IE7" s="6">
        <v>-2.01453759031277</v>
      </c>
      <c r="IF7" s="6">
        <v>-2.1884829738382199</v>
      </c>
      <c r="IG7" s="6">
        <v>-3.0125962925856702</v>
      </c>
      <c r="IH7" s="6">
        <v>-3.1840891294850202</v>
      </c>
      <c r="II7" s="6">
        <v>-2.95916111698202</v>
      </c>
      <c r="IJ7" s="6">
        <v>-3.52186809621224</v>
      </c>
      <c r="IK7" s="6">
        <v>-3.2036011533666402</v>
      </c>
      <c r="IL7" s="6">
        <v>-3.40006319505382</v>
      </c>
      <c r="IM7" s="6">
        <v>-3.2615412417448102</v>
      </c>
      <c r="IN7" s="6">
        <v>-2.90892812452618</v>
      </c>
      <c r="IO7" s="6">
        <v>-2.6404337844937</v>
      </c>
      <c r="IP7" s="6">
        <v>-3.4447998109773401</v>
      </c>
      <c r="IQ7" s="6">
        <v>-2.34164556323354</v>
      </c>
      <c r="IR7" s="6">
        <v>-3.0089438890017499</v>
      </c>
      <c r="IS7" s="6">
        <v>-2.6409759151687799</v>
      </c>
      <c r="IT7" s="6">
        <v>-3.0347091874847099</v>
      </c>
      <c r="IU7" s="6">
        <v>-2.8847970986025402</v>
      </c>
      <c r="IV7" s="6">
        <v>-2.9206120895347301</v>
      </c>
      <c r="IW7" s="6">
        <v>-2.0725448989454498</v>
      </c>
      <c r="IX7" s="6">
        <v>-2.3303271612565699</v>
      </c>
      <c r="IY7" s="6">
        <v>-3.3958609107528201</v>
      </c>
      <c r="IZ7" s="6">
        <v>-2.68151850786372</v>
      </c>
      <c r="JA7" s="6">
        <v>-3.1930462455131101</v>
      </c>
      <c r="JB7" s="6">
        <v>-2.7360373630791601</v>
      </c>
      <c r="JC7" s="6">
        <v>-1.91475256359111</v>
      </c>
      <c r="JD7" s="6">
        <v>-2.9022329893539398</v>
      </c>
      <c r="JE7" s="6">
        <v>-2.8381530449278798</v>
      </c>
      <c r="JF7" s="6">
        <v>-2.5286593683737499</v>
      </c>
      <c r="JG7" s="6">
        <v>-2.8320449912632402</v>
      </c>
      <c r="JH7" s="6">
        <v>-2.4788220118419302</v>
      </c>
      <c r="JI7" s="6">
        <v>-3.2840019976173398</v>
      </c>
      <c r="JJ7" s="6">
        <v>-3.0782614046832002</v>
      </c>
      <c r="JK7" s="6">
        <v>-2.6791324309389699</v>
      </c>
      <c r="JL7" s="6">
        <v>-2.3113984180902398</v>
      </c>
      <c r="JM7" s="6">
        <v>-2.6562019210130701</v>
      </c>
      <c r="JN7" s="6">
        <v>-2.87189783887673</v>
      </c>
      <c r="JO7" s="6">
        <v>-2.1413157952046502</v>
      </c>
      <c r="JP7" s="6">
        <v>-3.8231760616656798</v>
      </c>
      <c r="JQ7" s="6">
        <v>-2.04001071302446</v>
      </c>
      <c r="JR7" s="6">
        <v>-2.7103389234022002</v>
      </c>
      <c r="JS7" s="6">
        <v>-3.3514480564937701</v>
      </c>
      <c r="JT7" s="6">
        <v>-2.9502013808957201</v>
      </c>
      <c r="JU7" s="6">
        <v>-2.78449712290851</v>
      </c>
      <c r="JV7" s="6">
        <v>-3.7344816387145099</v>
      </c>
      <c r="JW7" s="6">
        <v>-3.28625764742667</v>
      </c>
      <c r="JX7" s="6">
        <v>-2.9690849210334198</v>
      </c>
      <c r="JY7" s="6">
        <v>-2.6430407586204101</v>
      </c>
      <c r="JZ7" s="6">
        <v>-2.5977580466288801</v>
      </c>
      <c r="KA7" s="6">
        <v>-2.59969291833078</v>
      </c>
      <c r="KB7" s="6">
        <v>-3.1347941490373699</v>
      </c>
      <c r="KC7" s="6">
        <v>-3.2960828820034198</v>
      </c>
      <c r="KD7" s="6">
        <v>-4.2047531738345798</v>
      </c>
      <c r="KE7" s="6">
        <v>-2.4428677709976498</v>
      </c>
      <c r="KF7" s="6">
        <v>-2.7879452808138701</v>
      </c>
      <c r="KG7" s="6">
        <v>-2.8118293968753298</v>
      </c>
      <c r="KH7" s="6">
        <v>-3.3485676425323598</v>
      </c>
      <c r="KI7" s="6">
        <v>-3.1394489940003498</v>
      </c>
      <c r="KJ7" s="6">
        <v>-2.59728480976211</v>
      </c>
      <c r="KK7" s="6">
        <v>-3.0340782118407299</v>
      </c>
      <c r="KL7" s="6">
        <v>-2.5735254656940501</v>
      </c>
      <c r="KM7" s="6">
        <v>-2.19258849981312</v>
      </c>
      <c r="KN7" s="6">
        <v>-2.7303115355357299</v>
      </c>
      <c r="KO7" s="6">
        <v>-2.67657222200876</v>
      </c>
      <c r="KP7" s="6">
        <v>-2.6618691481775301</v>
      </c>
      <c r="KQ7" s="6">
        <v>-2.6211985103271398</v>
      </c>
      <c r="KR7" s="6">
        <v>-3.1674231914406801</v>
      </c>
      <c r="KS7" s="6">
        <v>-3.5460903232032801</v>
      </c>
      <c r="KT7" s="6">
        <v>-3.03894666667536</v>
      </c>
      <c r="KU7" s="6">
        <v>-3.5244522475000299</v>
      </c>
      <c r="KV7" s="6">
        <v>-3.20744798882202</v>
      </c>
      <c r="KW7" s="6">
        <v>-2.4497403158523898</v>
      </c>
      <c r="KX7" s="6">
        <v>-3.2065064309551299</v>
      </c>
      <c r="KY7" s="6">
        <v>-1.7851703824858001</v>
      </c>
      <c r="KZ7" s="6">
        <v>-2.5915976244397401</v>
      </c>
      <c r="LA7" s="6">
        <v>-2.0730991225882098</v>
      </c>
      <c r="LB7" s="6">
        <v>-2.56971102205185</v>
      </c>
      <c r="LC7" s="6">
        <v>-2.82764156211771</v>
      </c>
      <c r="LD7" s="6">
        <v>-2.1875405830972401</v>
      </c>
      <c r="LE7" s="6">
        <v>-3.4710234309277102</v>
      </c>
      <c r="LF7" s="6">
        <v>-2.6182318973003902</v>
      </c>
      <c r="LG7" s="6">
        <v>-3.0980921797077601</v>
      </c>
      <c r="LH7" s="6">
        <v>-3.2577819533639198</v>
      </c>
      <c r="LI7" s="6">
        <v>-3.04250279901142</v>
      </c>
      <c r="LJ7" s="6">
        <v>-2.5894963456407099</v>
      </c>
      <c r="LK7" s="6">
        <v>-3.3000667892008102</v>
      </c>
      <c r="LL7" s="6">
        <v>-2.2767984483541901</v>
      </c>
      <c r="LM7" s="6">
        <v>-2.6262003897049602</v>
      </c>
      <c r="LN7" s="6">
        <v>-2.4024527069939001</v>
      </c>
      <c r="LO7" s="6">
        <v>-3.5348384570525502</v>
      </c>
      <c r="LP7" s="6">
        <v>-2.3742884820456802</v>
      </c>
      <c r="LQ7" s="6">
        <v>-2.8662730081488301</v>
      </c>
      <c r="LR7" s="6">
        <v>-3.0145752191373298</v>
      </c>
      <c r="LS7" s="6">
        <v>-3.1085716552285199</v>
      </c>
      <c r="LT7" s="6">
        <v>-2.9018000410120601</v>
      </c>
      <c r="LU7" s="6">
        <v>-2.4300487816030301</v>
      </c>
      <c r="LV7" s="6">
        <v>-2.9407120331157799</v>
      </c>
      <c r="LW7" s="6">
        <v>-3.9632167952955801</v>
      </c>
      <c r="LX7" s="6">
        <v>-3.0118181671944901</v>
      </c>
      <c r="LY7" s="6">
        <v>-3.38631736062012</v>
      </c>
      <c r="LZ7" s="6">
        <v>-2.9010155799586101</v>
      </c>
      <c r="MA7" s="6">
        <v>-2.2599046334037598</v>
      </c>
      <c r="MB7" s="6">
        <v>-2.3882443869302099</v>
      </c>
      <c r="MC7" s="6">
        <v>-3.2395521417761501</v>
      </c>
      <c r="MD7" s="6">
        <v>-2.1809614513587099</v>
      </c>
      <c r="ME7" s="6">
        <v>-2.6748225753031498</v>
      </c>
      <c r="MF7" s="6">
        <v>-3.4670513733528399</v>
      </c>
      <c r="MG7" s="6">
        <v>-2.38474664758014</v>
      </c>
      <c r="MH7" s="6">
        <v>-2.4779622084533801</v>
      </c>
      <c r="MI7" s="6">
        <v>-2.8077046843867999</v>
      </c>
      <c r="MJ7" s="6">
        <v>-3.1591409674679798</v>
      </c>
      <c r="MK7" s="6">
        <v>-2.5302215725961998</v>
      </c>
      <c r="ML7" s="6">
        <v>-1.6653443723983099</v>
      </c>
      <c r="MM7" s="6">
        <v>-4.4748112776833704</v>
      </c>
      <c r="MN7" s="6">
        <v>-3.1986434152758698</v>
      </c>
      <c r="MO7" s="6">
        <v>-2.9614590972193602</v>
      </c>
      <c r="MP7" s="6">
        <v>-1.78050767210355</v>
      </c>
      <c r="MQ7" s="6">
        <v>-2.63011651627113</v>
      </c>
      <c r="MR7" s="6">
        <v>-3.4368115066645899</v>
      </c>
      <c r="MS7" s="6">
        <v>-2.8912791159832101</v>
      </c>
      <c r="MT7" s="6">
        <v>-3.8307023238915798</v>
      </c>
      <c r="MU7" s="6">
        <v>-2.1022954632532098</v>
      </c>
      <c r="MV7" s="6">
        <v>-2.38133251871364</v>
      </c>
      <c r="MW7" s="6">
        <v>-3.1377269469558802</v>
      </c>
      <c r="MX7" s="6">
        <v>-2.7364428915746299</v>
      </c>
      <c r="MY7" s="6">
        <v>-2.94245460938654</v>
      </c>
      <c r="MZ7" s="6">
        <v>-2.6542186934340899</v>
      </c>
      <c r="NA7" s="6">
        <v>-2.55273692923909</v>
      </c>
      <c r="NB7" s="6">
        <v>-2.4657574057197</v>
      </c>
      <c r="NC7" s="6">
        <v>-2.1934883011858202</v>
      </c>
      <c r="ND7" s="6">
        <v>-2.84165178072517</v>
      </c>
      <c r="NE7" s="6">
        <v>-3.5716818723671699</v>
      </c>
      <c r="NF7" s="6">
        <v>-2.9135759141455302</v>
      </c>
      <c r="NG7" s="6">
        <v>-2.9453884750981101</v>
      </c>
      <c r="NH7" s="6">
        <v>-2.4342349767447802</v>
      </c>
      <c r="NI7" s="6">
        <v>-2.9974293544531201</v>
      </c>
      <c r="NJ7" s="6">
        <v>-3.5950018192797799</v>
      </c>
      <c r="NK7" s="6">
        <v>-1.9705894672375499</v>
      </c>
      <c r="NL7" s="6">
        <v>-2.0003385258408999</v>
      </c>
      <c r="NM7" s="6">
        <v>-2.86385024688472</v>
      </c>
      <c r="NN7" s="6">
        <v>-2.1543366602369498</v>
      </c>
      <c r="NO7" s="6">
        <v>-2.4322836613938401</v>
      </c>
      <c r="NP7" s="6">
        <v>-2.7135958026776499</v>
      </c>
      <c r="NQ7" s="6">
        <v>-3.4556773088527</v>
      </c>
      <c r="NR7" s="6">
        <v>-2.9318810008179002</v>
      </c>
      <c r="NS7" s="6">
        <v>-2.6164576468646499</v>
      </c>
      <c r="NT7" s="6">
        <v>-2.8920886093459899</v>
      </c>
      <c r="NU7" s="6">
        <v>-2.4015116076704901</v>
      </c>
      <c r="NV7" s="6">
        <v>-2.3494473797335198</v>
      </c>
      <c r="NW7" s="6">
        <v>-2.93677285608632</v>
      </c>
      <c r="NX7" s="6">
        <v>-3.10598083803478</v>
      </c>
      <c r="NY7" s="6">
        <v>-2.1173967010541102</v>
      </c>
      <c r="NZ7" s="6">
        <v>-2.45756375086065</v>
      </c>
      <c r="OA7" s="6">
        <v>-2.9196577342496699</v>
      </c>
      <c r="OB7" s="6">
        <v>-2.8647450120269502</v>
      </c>
      <c r="OC7" s="6">
        <v>-2.9025646733411699</v>
      </c>
      <c r="OD7" s="6">
        <v>-2.9910173518267098</v>
      </c>
      <c r="OE7" s="6">
        <v>-2.21096060639394</v>
      </c>
      <c r="OF7" s="6">
        <v>-3.2952257409261598</v>
      </c>
      <c r="OG7" s="6">
        <v>-3.4337170579043699</v>
      </c>
      <c r="OH7" s="6">
        <v>-3.1585890489331501</v>
      </c>
      <c r="OI7" s="6">
        <v>-3.6106270809670198</v>
      </c>
      <c r="OJ7" s="6">
        <v>-2.4910405469883798</v>
      </c>
      <c r="OK7" s="6">
        <v>-3.1504096879838599</v>
      </c>
      <c r="OL7" s="6">
        <v>-2.4983498799356698</v>
      </c>
      <c r="OM7" s="6">
        <v>-2.4635304503475401</v>
      </c>
      <c r="ON7" s="6">
        <v>-2.5073417973690599</v>
      </c>
      <c r="OO7" s="6">
        <v>-3.3977540748417101</v>
      </c>
      <c r="OP7" s="6">
        <v>-2.5208410024550099</v>
      </c>
      <c r="OQ7" s="6">
        <v>-2.5117317358139601</v>
      </c>
      <c r="OR7" s="6">
        <v>-2.5053951656786499</v>
      </c>
      <c r="OS7" s="6">
        <v>-2.4766477748564899</v>
      </c>
      <c r="OT7" s="6">
        <v>-3.10357184505731</v>
      </c>
      <c r="OU7" s="6">
        <v>-2.83807750864875</v>
      </c>
      <c r="OV7" s="6">
        <v>-1.9608880461626801</v>
      </c>
      <c r="OW7" s="6">
        <v>-3.62720396502116</v>
      </c>
      <c r="OX7" s="6">
        <v>-3.2120496397404601</v>
      </c>
      <c r="OY7" s="6">
        <v>-3.3260574921857802</v>
      </c>
      <c r="OZ7" s="6">
        <v>-3.68778399430908</v>
      </c>
      <c r="PA7" s="6">
        <v>-2.0519618316738102</v>
      </c>
      <c r="PB7" s="6">
        <v>-2.8541801736389099</v>
      </c>
      <c r="PC7" s="6">
        <v>-3.0592895250863901</v>
      </c>
      <c r="PD7" s="6">
        <v>-2.7658276583385701</v>
      </c>
      <c r="PE7" s="6">
        <v>-2.7134033386849099</v>
      </c>
      <c r="PF7" s="6">
        <v>-2.6902241529777702</v>
      </c>
      <c r="PG7" s="6">
        <v>-2.11142729778688</v>
      </c>
      <c r="PH7" s="6">
        <v>-3.1417806617058202</v>
      </c>
      <c r="PI7" s="6">
        <v>-2.2876429903426998</v>
      </c>
      <c r="PJ7" s="6">
        <v>-2.2103378873279</v>
      </c>
      <c r="PK7" s="6">
        <v>-2.5854909462884601</v>
      </c>
      <c r="PL7" s="6">
        <v>-2.9621790739129898</v>
      </c>
      <c r="PM7" s="6">
        <v>-2.71607938412328</v>
      </c>
      <c r="PN7" s="6">
        <v>-2.8356633910642501</v>
      </c>
      <c r="PO7" s="6">
        <v>-2.9498033007715398</v>
      </c>
      <c r="PP7" s="6">
        <v>-2.89408131879682</v>
      </c>
      <c r="PQ7" s="6">
        <v>-2.5490466735254298</v>
      </c>
      <c r="PR7" s="6">
        <v>-2.8718150360921699</v>
      </c>
      <c r="PS7" s="6">
        <v>-2.5991133782895202</v>
      </c>
      <c r="PT7" s="6">
        <v>-2.1460130643937401</v>
      </c>
      <c r="PU7" s="6">
        <v>-2.7254855212381499</v>
      </c>
      <c r="PV7" s="6">
        <v>-2.3916348652587001</v>
      </c>
      <c r="PW7" s="6">
        <v>-2.15033918943992</v>
      </c>
      <c r="PX7" s="6">
        <v>-2.0142178780442102</v>
      </c>
      <c r="PY7" s="6">
        <v>-2.7312585352504701</v>
      </c>
      <c r="PZ7" s="6">
        <v>-4.2734013556165502</v>
      </c>
      <c r="QA7" s="6">
        <v>-2.19762011233346</v>
      </c>
      <c r="QB7" s="6">
        <v>-3.7337181532170298</v>
      </c>
      <c r="QC7" s="6">
        <v>-2.8400559557722702</v>
      </c>
      <c r="QD7" s="6">
        <v>-2.4701196250289601</v>
      </c>
      <c r="QE7" s="6">
        <v>-2.8015393358930698</v>
      </c>
      <c r="QF7" s="6">
        <v>-2.4232613901520801</v>
      </c>
      <c r="QG7" s="6">
        <v>-2.3004210065320598</v>
      </c>
      <c r="QH7" s="6">
        <v>-2.74730812788951</v>
      </c>
      <c r="QI7" s="6">
        <v>-2.9863654931119199</v>
      </c>
      <c r="QJ7" s="6">
        <v>-2.9742527020881502</v>
      </c>
      <c r="QK7" s="6">
        <v>-2.7349913928855099</v>
      </c>
      <c r="QL7" s="6">
        <v>-2.90876075139977</v>
      </c>
      <c r="QM7" s="6">
        <v>-2.48007267079478</v>
      </c>
      <c r="QN7" s="6">
        <v>-2.6190606425251599</v>
      </c>
      <c r="QO7" s="6">
        <v>-3.196720506953</v>
      </c>
      <c r="QP7" s="6">
        <v>-2.9927600546626101</v>
      </c>
      <c r="QQ7" s="6">
        <v>-2.6434336795550801</v>
      </c>
      <c r="QR7" s="6">
        <v>-2.4234923660930701</v>
      </c>
      <c r="QS7" s="6">
        <v>-2.4118768417430898</v>
      </c>
      <c r="QT7" s="6">
        <v>-3.7989387675763502</v>
      </c>
      <c r="QU7" s="6">
        <v>-2.8907384100589701</v>
      </c>
      <c r="QV7" s="6">
        <v>-2.2156515945761899</v>
      </c>
      <c r="QW7" s="6">
        <v>-2.7976719937832799</v>
      </c>
      <c r="QX7" s="6">
        <v>-3.1099512173347401</v>
      </c>
      <c r="QY7" s="6">
        <v>-2.2422746024382199</v>
      </c>
      <c r="QZ7" s="6">
        <v>-3.4114941909355698</v>
      </c>
      <c r="RA7" s="6">
        <v>-2.2226899901964101</v>
      </c>
      <c r="RB7" s="6">
        <v>-4.5889718096482204</v>
      </c>
      <c r="RC7" s="6">
        <v>-3.10408662020046</v>
      </c>
      <c r="RD7" s="6">
        <v>-2.4349084148663498</v>
      </c>
      <c r="RE7" s="6">
        <v>-2.8236051971268799</v>
      </c>
      <c r="RF7" s="6">
        <v>-2.6539946681603701</v>
      </c>
      <c r="RG7" s="6">
        <v>-3.1876308269934999</v>
      </c>
      <c r="RH7" s="6">
        <v>-2.8218290882932902</v>
      </c>
      <c r="RI7" s="6">
        <v>-2.9349706739770198</v>
      </c>
      <c r="RJ7" s="6">
        <v>-3.0046481425602298</v>
      </c>
      <c r="RK7" s="6">
        <v>-2.92591275064972</v>
      </c>
      <c r="RL7" s="6">
        <v>-2.7989887894199601</v>
      </c>
      <c r="RM7" s="6">
        <v>-3.09767623613567</v>
      </c>
      <c r="RN7" s="6">
        <v>-2.8384955023331502</v>
      </c>
      <c r="RO7" s="6">
        <v>-3.3748307274784999</v>
      </c>
      <c r="RP7" s="6">
        <v>-2.6523828971081298</v>
      </c>
      <c r="RQ7" s="6">
        <v>-2.3632508889224799</v>
      </c>
      <c r="RR7" s="6">
        <v>-2.0704394819864702</v>
      </c>
      <c r="RS7" s="6">
        <v>-2.5635358175866498</v>
      </c>
      <c r="RT7" s="6">
        <v>-3.1923015508543502</v>
      </c>
      <c r="RU7" s="6">
        <v>-2.6372332164290202</v>
      </c>
      <c r="RV7" s="6">
        <v>-2.5107881677587098</v>
      </c>
      <c r="RW7" s="6">
        <v>-3.2463621860192702</v>
      </c>
      <c r="RX7" s="6">
        <v>-2.8096923209987601</v>
      </c>
      <c r="RY7" s="6">
        <v>-2.9596541371186502</v>
      </c>
      <c r="RZ7" s="6">
        <v>-2.68367064092714</v>
      </c>
      <c r="SA7" s="6">
        <v>-3.0397410349406999</v>
      </c>
      <c r="SB7" s="6">
        <v>-2.4984300286682899</v>
      </c>
      <c r="SC7" s="6">
        <v>-2.6782224618338</v>
      </c>
      <c r="SD7" s="6">
        <v>-2.9391405991531201</v>
      </c>
      <c r="SE7" s="6">
        <v>-3.0175402233042199</v>
      </c>
      <c r="SF7" s="6">
        <v>-2.5668568921739499</v>
      </c>
      <c r="SG7" s="6">
        <v>-4.0453790898699404</v>
      </c>
      <c r="SH7" s="6">
        <v>-3.7234894834396801</v>
      </c>
      <c r="SI7" s="6">
        <v>-2.5049863954323399</v>
      </c>
      <c r="SJ7" s="6">
        <v>-2.9482185849626799</v>
      </c>
      <c r="SK7" s="6">
        <v>-2.23641387548756</v>
      </c>
      <c r="SL7" s="6">
        <v>-2.1466918298784101</v>
      </c>
      <c r="SM7" s="6">
        <v>-3.1076485629165198</v>
      </c>
      <c r="SN7" s="6">
        <v>-2.7232635565296301</v>
      </c>
      <c r="SO7" s="6">
        <v>-2.6946306584913802</v>
      </c>
      <c r="SP7" s="6">
        <v>-2.6670116957783998</v>
      </c>
      <c r="SQ7" s="6">
        <v>-2.8103176067555098</v>
      </c>
      <c r="SR7" s="6">
        <v>-2.86417914500535</v>
      </c>
      <c r="SS7" s="6">
        <v>-3.4419092344045801</v>
      </c>
      <c r="ST7" s="6">
        <v>-3.3661962365417102</v>
      </c>
      <c r="SU7" s="6">
        <v>-2.67468313014388</v>
      </c>
      <c r="SV7" s="6">
        <v>-2.8578197240238401</v>
      </c>
      <c r="SW7" s="6">
        <v>-2.89545006002849</v>
      </c>
      <c r="SX7" s="6">
        <v>-3.1561656575215302</v>
      </c>
      <c r="SY7" s="6">
        <v>-2.5955849778495201</v>
      </c>
      <c r="SZ7" s="6">
        <v>-2.4683676787498698</v>
      </c>
      <c r="TA7" s="6">
        <v>-2.5555421061865999</v>
      </c>
      <c r="TB7" s="6">
        <v>-2.12786376420588</v>
      </c>
      <c r="TC7" s="6">
        <v>-2.42528445119031</v>
      </c>
      <c r="TD7" s="6">
        <v>-3.1530396399789402</v>
      </c>
      <c r="TE7" s="6">
        <v>-2.76000904203838</v>
      </c>
      <c r="TF7" s="6">
        <v>-2.6303683425607001</v>
      </c>
      <c r="TG7" s="6">
        <v>-2.4312904215844902</v>
      </c>
      <c r="TH7" s="6">
        <v>-2.75458636157855</v>
      </c>
      <c r="TI7" s="6">
        <v>-2.3119197344336602</v>
      </c>
      <c r="TJ7" s="6">
        <v>-4.2880164341850602</v>
      </c>
      <c r="TK7" s="6">
        <v>-2.2636851597375198</v>
      </c>
      <c r="TL7" s="6">
        <v>-3.9255846108996</v>
      </c>
      <c r="TM7" s="6">
        <v>-2.9684865389681199</v>
      </c>
      <c r="TN7" s="6">
        <v>-2.56154765282681</v>
      </c>
      <c r="TO7" s="6">
        <v>-3.4292504440903202</v>
      </c>
      <c r="TP7" s="6">
        <v>-2.8458644391278201</v>
      </c>
      <c r="TQ7" s="6">
        <v>-2.7849317304679899</v>
      </c>
    </row>
    <row r="8" spans="1:537" x14ac:dyDescent="0.3">
      <c r="A8" s="14"/>
      <c r="B8" s="14"/>
      <c r="C8" s="14"/>
      <c r="D8" s="14"/>
      <c r="E8" s="14"/>
      <c r="F8" s="14"/>
      <c r="H8" s="19" t="s">
        <v>77</v>
      </c>
      <c r="I8" s="19" t="s">
        <v>22</v>
      </c>
      <c r="J8" s="26">
        <f t="shared" si="5"/>
        <v>0.66229914832766645</v>
      </c>
      <c r="K8" s="20">
        <v>19.133128388399999</v>
      </c>
      <c r="L8" s="5"/>
      <c r="M8" s="19" t="s">
        <v>77</v>
      </c>
      <c r="N8" s="19" t="s">
        <v>22</v>
      </c>
      <c r="O8" s="26">
        <f t="shared" si="6"/>
        <v>0.71282159015179214</v>
      </c>
      <c r="P8" s="20">
        <f t="shared" si="7"/>
        <v>18.076564580726739</v>
      </c>
      <c r="Q8" s="5"/>
      <c r="R8" s="19" t="s">
        <v>77</v>
      </c>
      <c r="S8" s="19" t="s">
        <v>22</v>
      </c>
      <c r="T8" s="26">
        <f t="shared" si="8"/>
        <v>0.64118059262295268</v>
      </c>
      <c r="U8" s="20">
        <f t="shared" si="9"/>
        <v>21.771854835098782</v>
      </c>
      <c r="AF8" s="1" t="s">
        <v>80</v>
      </c>
      <c r="AG8" s="15">
        <f t="shared" si="0"/>
        <v>0.13884132970002233</v>
      </c>
      <c r="AH8" s="16">
        <f t="shared" si="1"/>
        <v>0.15541841548126187</v>
      </c>
      <c r="AI8" s="1">
        <f t="shared" si="2"/>
        <v>4.045086447622509E-2</v>
      </c>
      <c r="AJ8" s="6">
        <f t="shared" si="3"/>
        <v>3.4834612664830601E-2</v>
      </c>
      <c r="AK8" s="17">
        <f t="shared" si="4"/>
        <v>4.6737673737967257E-2</v>
      </c>
      <c r="AL8" s="1">
        <v>4.1486697577395003E-2</v>
      </c>
      <c r="AM8" s="1">
        <v>3.4427377459662199E-2</v>
      </c>
      <c r="AN8" s="1">
        <v>4.0063976799702E-2</v>
      </c>
      <c r="AO8" s="6">
        <v>4.1353952488620602E-2</v>
      </c>
      <c r="AP8" s="6">
        <v>4.5437841623559398E-2</v>
      </c>
      <c r="AQ8" s="6">
        <v>4.4980188189052597E-2</v>
      </c>
      <c r="AR8" s="6">
        <v>4.0697849632939098E-2</v>
      </c>
      <c r="AS8" s="6">
        <v>4.6182776435643599E-2</v>
      </c>
      <c r="AT8" s="6">
        <v>3.8731338635133901E-2</v>
      </c>
      <c r="AU8" s="6">
        <v>3.7962011250884699E-2</v>
      </c>
      <c r="AV8" s="6">
        <v>3.59130286415709E-2</v>
      </c>
      <c r="AW8" s="6">
        <v>4.0792882864797798E-2</v>
      </c>
      <c r="AX8" s="6">
        <v>4.1513552481181201E-2</v>
      </c>
      <c r="AY8" s="6">
        <v>3.3534560207166698E-2</v>
      </c>
      <c r="AZ8" s="6">
        <v>4.2868892540695099E-2</v>
      </c>
      <c r="BA8" s="6">
        <v>3.5952062571870502E-2</v>
      </c>
      <c r="BB8" s="6">
        <v>3.9360485576557899E-2</v>
      </c>
      <c r="BC8" s="6">
        <v>3.70215282308154E-2</v>
      </c>
      <c r="BD8" s="6">
        <v>3.78743949014195E-2</v>
      </c>
      <c r="BE8" s="6">
        <v>3.7658092739524002E-2</v>
      </c>
      <c r="BF8" s="6">
        <v>3.9647576069321601E-2</v>
      </c>
      <c r="BG8" s="6">
        <v>3.7592704584029003E-2</v>
      </c>
      <c r="BH8" s="6">
        <v>4.6585532906001897E-2</v>
      </c>
      <c r="BI8" s="6">
        <v>3.52451094852958E-2</v>
      </c>
      <c r="BJ8" s="6">
        <v>3.5201248445010797E-2</v>
      </c>
      <c r="BK8" s="6">
        <v>3.84467847050525E-2</v>
      </c>
      <c r="BL8" s="6">
        <v>4.2533216250265397E-2</v>
      </c>
      <c r="BM8" s="6">
        <v>4.6277790347260997E-2</v>
      </c>
      <c r="BN8" s="6">
        <v>3.9754461454576E-2</v>
      </c>
      <c r="BO8" s="6">
        <v>3.7951525704455702E-2</v>
      </c>
      <c r="BP8" s="6">
        <v>3.95580765306092E-2</v>
      </c>
      <c r="BQ8" s="6">
        <v>3.6097313037070297E-2</v>
      </c>
      <c r="BR8" s="6">
        <v>3.64181401192082E-2</v>
      </c>
      <c r="BS8" s="6">
        <v>3.9455434092797899E-2</v>
      </c>
      <c r="BT8" s="6">
        <v>4.7285950237023797E-2</v>
      </c>
      <c r="BU8" s="6">
        <v>3.7084103184853001E-2</v>
      </c>
      <c r="BV8" s="6">
        <v>3.8068656412666303E-2</v>
      </c>
      <c r="BW8" s="6">
        <v>4.2393219019724801E-2</v>
      </c>
      <c r="BX8" s="6">
        <v>4.34554701332125E-2</v>
      </c>
      <c r="BY8" s="6">
        <v>4.1506282742801E-2</v>
      </c>
      <c r="BZ8" s="6">
        <v>4.2525857686514297E-2</v>
      </c>
      <c r="CA8" s="6">
        <v>3.5744023596222398E-2</v>
      </c>
      <c r="CB8" s="6">
        <v>4.7081190797778998E-2</v>
      </c>
      <c r="CC8" s="6">
        <v>4.5040008988787399E-2</v>
      </c>
      <c r="CD8" s="6">
        <v>4.7976162390971799E-2</v>
      </c>
      <c r="CE8" s="6">
        <v>4.1606411635766498E-2</v>
      </c>
      <c r="CF8" s="6">
        <v>4.3118296276516602E-2</v>
      </c>
      <c r="CG8" s="6">
        <v>4.1709747898729901E-2</v>
      </c>
      <c r="CH8" s="6">
        <v>4.2631453559564998E-2</v>
      </c>
      <c r="CI8" s="6">
        <v>4.4697800219070397E-2</v>
      </c>
      <c r="CJ8" s="6">
        <v>3.6424985321098301E-2</v>
      </c>
      <c r="CK8" s="6">
        <v>4.1290666067218401E-2</v>
      </c>
      <c r="CL8" s="6">
        <v>4.9513216468223799E-2</v>
      </c>
      <c r="CM8" s="6">
        <v>4.3397131141111898E-2</v>
      </c>
      <c r="CN8" s="6">
        <v>4.36604261052276E-2</v>
      </c>
      <c r="CO8" s="6">
        <v>4.7975370052651997E-2</v>
      </c>
      <c r="CP8" s="6">
        <v>3.8433179499710202E-2</v>
      </c>
      <c r="CQ8" s="6">
        <v>3.5450210338404703E-2</v>
      </c>
      <c r="CR8" s="6">
        <v>3.7204457608944502E-2</v>
      </c>
      <c r="CS8" s="6">
        <v>3.6095857513468201E-2</v>
      </c>
      <c r="CT8" s="6">
        <v>3.8549668307782503E-2</v>
      </c>
      <c r="CU8" s="6">
        <v>4.2096678584482898E-2</v>
      </c>
      <c r="CV8" s="6">
        <v>3.9066718723688498E-2</v>
      </c>
      <c r="CW8" s="6">
        <v>4.1203571491115698E-2</v>
      </c>
      <c r="CX8" s="6">
        <v>3.7668033861442601E-2</v>
      </c>
      <c r="CY8" s="6">
        <v>4.3697047013989403E-2</v>
      </c>
      <c r="CZ8" s="6">
        <v>4.4670740235910701E-2</v>
      </c>
      <c r="DA8" s="6">
        <v>3.8427550833141602E-2</v>
      </c>
      <c r="DB8" s="6">
        <v>3.8745791570142199E-2</v>
      </c>
      <c r="DC8" s="6">
        <v>3.8948500122286497E-2</v>
      </c>
      <c r="DD8" s="6">
        <v>4.1070824847796401E-2</v>
      </c>
      <c r="DE8" s="6">
        <v>3.9041847730680999E-2</v>
      </c>
      <c r="DF8" s="6">
        <v>3.8122361804186197E-2</v>
      </c>
      <c r="DG8" s="6">
        <v>4.6761260443255001E-2</v>
      </c>
      <c r="DH8" s="6">
        <v>4.1803439913805598E-2</v>
      </c>
      <c r="DI8" s="6">
        <v>4.02572638012694E-2</v>
      </c>
      <c r="DJ8" s="6">
        <v>4.0241035594367397E-2</v>
      </c>
      <c r="DK8" s="6">
        <v>4.0793479495967899E-2</v>
      </c>
      <c r="DL8" s="6">
        <v>4.5575831373216802E-2</v>
      </c>
      <c r="DM8" s="6">
        <v>4.2432315239383497E-2</v>
      </c>
      <c r="DN8" s="6">
        <v>3.64183781935256E-2</v>
      </c>
      <c r="DO8" s="6">
        <v>4.7303249410337402E-2</v>
      </c>
      <c r="DP8" s="6">
        <v>4.6875549628195803E-2</v>
      </c>
      <c r="DQ8" s="6">
        <v>4.1315217414058199E-2</v>
      </c>
      <c r="DR8" s="6">
        <v>3.7339189116447499E-2</v>
      </c>
      <c r="DS8" s="6">
        <v>4.4607921071481801E-2</v>
      </c>
      <c r="DT8" s="6">
        <v>4.2137198600613601E-2</v>
      </c>
      <c r="DU8" s="6">
        <v>4.0336944390605797E-2</v>
      </c>
      <c r="DV8" s="6">
        <v>4.6361321144699E-2</v>
      </c>
      <c r="DW8" s="6">
        <v>4.05255261649917E-2</v>
      </c>
      <c r="DX8" s="6">
        <v>3.4704814793714102E-2</v>
      </c>
      <c r="DY8" s="6">
        <v>3.9888788269742001E-2</v>
      </c>
      <c r="DZ8" s="6">
        <v>4.2214457593995898E-2</v>
      </c>
      <c r="EA8" s="6">
        <v>4.27240266663294E-2</v>
      </c>
      <c r="EB8" s="6">
        <v>3.9185732518611099E-2</v>
      </c>
      <c r="EC8" s="6">
        <v>3.6669058738691897E-2</v>
      </c>
      <c r="ED8" s="6">
        <v>3.9594495845900197E-2</v>
      </c>
      <c r="EE8" s="6">
        <v>4.3721453738207301E-2</v>
      </c>
      <c r="EF8" s="6">
        <v>3.83051531908691E-2</v>
      </c>
      <c r="EG8" s="6">
        <v>5.0097442622422203E-2</v>
      </c>
      <c r="EH8" s="6">
        <v>4.5683374260437601E-2</v>
      </c>
      <c r="EI8" s="6">
        <v>3.8776283638520599E-2</v>
      </c>
      <c r="EJ8" s="6">
        <v>3.6241729780731299E-2</v>
      </c>
      <c r="EK8" s="6">
        <v>3.7865624805720602E-2</v>
      </c>
      <c r="EL8" s="6">
        <v>4.3818742133954099E-2</v>
      </c>
      <c r="EM8" s="6">
        <v>3.5974610950723303E-2</v>
      </c>
      <c r="EN8" s="6">
        <v>4.1574273645285403E-2</v>
      </c>
      <c r="EO8" s="6">
        <v>4.0700794511664903E-2</v>
      </c>
      <c r="EP8" s="6">
        <v>4.511125017177E-2</v>
      </c>
      <c r="EQ8" s="6">
        <v>4.0258970593747799E-2</v>
      </c>
      <c r="ER8" s="6">
        <v>3.6794788591395899E-2</v>
      </c>
      <c r="ES8" s="6">
        <v>4.3900376889308999E-2</v>
      </c>
      <c r="ET8" s="6">
        <v>3.71890094881226E-2</v>
      </c>
      <c r="EU8" s="6">
        <v>4.2242292932199103E-2</v>
      </c>
      <c r="EV8" s="6">
        <v>3.8184828850977702E-2</v>
      </c>
      <c r="EW8" s="6">
        <v>4.70506448889733E-2</v>
      </c>
      <c r="EX8" s="6">
        <v>4.0597584514787302E-2</v>
      </c>
      <c r="EY8" s="6">
        <v>3.9075484545907001E-2</v>
      </c>
      <c r="EZ8" s="6">
        <v>3.3200083691581499E-2</v>
      </c>
      <c r="FA8" s="6">
        <v>3.9052539409138803E-2</v>
      </c>
      <c r="FB8" s="6">
        <v>3.7102197764518299E-2</v>
      </c>
      <c r="FC8" s="6">
        <v>3.9116890134845102E-2</v>
      </c>
      <c r="FD8" s="6">
        <v>4.0805398475676803E-2</v>
      </c>
      <c r="FE8" s="6">
        <v>3.6723298370468498E-2</v>
      </c>
      <c r="FF8" s="6">
        <v>3.7580080264857298E-2</v>
      </c>
      <c r="FG8" s="6">
        <v>4.3145681977324997E-2</v>
      </c>
      <c r="FH8" s="6">
        <v>4.4197065551091097E-2</v>
      </c>
      <c r="FI8" s="6">
        <v>3.8515550457966299E-2</v>
      </c>
      <c r="FJ8" s="6">
        <v>4.6000045188351601E-2</v>
      </c>
      <c r="FK8" s="6">
        <v>3.9283444125771297E-2</v>
      </c>
      <c r="FL8" s="6">
        <v>4.0631338211996798E-2</v>
      </c>
      <c r="FM8" s="6">
        <v>3.7730623531587501E-2</v>
      </c>
      <c r="FN8" s="6">
        <v>4.3103602966148402E-2</v>
      </c>
      <c r="FO8" s="6">
        <v>4.12574318263325E-2</v>
      </c>
      <c r="FP8" s="6">
        <v>3.2262894441881997E-2</v>
      </c>
      <c r="FQ8" s="6">
        <v>3.9486431581828497E-2</v>
      </c>
      <c r="FR8" s="6">
        <v>4.0451002657344901E-2</v>
      </c>
      <c r="FS8" s="6">
        <v>4.4223321004376197E-2</v>
      </c>
      <c r="FT8" s="6">
        <v>3.3355265431779198E-2</v>
      </c>
      <c r="FU8" s="6">
        <v>4.7103977539741902E-2</v>
      </c>
      <c r="FV8" s="6">
        <v>3.89856448176795E-2</v>
      </c>
      <c r="FW8" s="6">
        <v>3.9911007650418599E-2</v>
      </c>
      <c r="FX8" s="6">
        <v>3.5435804409441198E-2</v>
      </c>
      <c r="FY8" s="6">
        <v>3.9028288894522797E-2</v>
      </c>
      <c r="FZ8" s="6">
        <v>4.3514281953741497E-2</v>
      </c>
      <c r="GA8" s="6">
        <v>4.3733877174282197E-2</v>
      </c>
      <c r="GB8" s="6">
        <v>3.8402210359060399E-2</v>
      </c>
      <c r="GC8" s="6">
        <v>3.7953911411030397E-2</v>
      </c>
      <c r="GD8" s="6">
        <v>3.8174345996958299E-2</v>
      </c>
      <c r="GE8" s="6">
        <v>3.5886635817972398E-2</v>
      </c>
      <c r="GF8" s="6">
        <v>4.0944938071153403E-2</v>
      </c>
      <c r="GG8" s="6">
        <v>3.8935605754962001E-2</v>
      </c>
      <c r="GH8" s="6">
        <v>3.6903765586664299E-2</v>
      </c>
      <c r="GI8" s="6">
        <v>4.0134905864359097E-2</v>
      </c>
      <c r="GJ8" s="6">
        <v>4.12706259129626E-2</v>
      </c>
      <c r="GK8" s="6">
        <v>3.35100082269102E-2</v>
      </c>
      <c r="GL8" s="6">
        <v>4.0535494154501202E-2</v>
      </c>
      <c r="GM8" s="6">
        <v>4.0510564738640897E-2</v>
      </c>
      <c r="GN8" s="6">
        <v>4.4026497982074399E-2</v>
      </c>
      <c r="GO8" s="6">
        <v>4.2708962237272101E-2</v>
      </c>
      <c r="GP8" s="6">
        <v>4.4537807934293398E-2</v>
      </c>
      <c r="GQ8" s="6">
        <v>4.0885054699345003E-2</v>
      </c>
      <c r="GR8" s="6">
        <v>5.43941804305898E-2</v>
      </c>
      <c r="GS8" s="6">
        <v>4.1683083390589501E-2</v>
      </c>
      <c r="GT8" s="6">
        <v>4.2798403163259599E-2</v>
      </c>
      <c r="GU8" s="6">
        <v>4.0017455817928302E-2</v>
      </c>
      <c r="GV8" s="6">
        <v>3.6845187844465097E-2</v>
      </c>
      <c r="GW8" s="6">
        <v>4.1376945159729901E-2</v>
      </c>
      <c r="GX8" s="6">
        <v>3.7037206360293201E-2</v>
      </c>
      <c r="GY8" s="6">
        <v>3.8125443412170397E-2</v>
      </c>
      <c r="GZ8" s="6">
        <v>3.1791425668264602E-2</v>
      </c>
      <c r="HA8" s="6">
        <v>4.5513307097727301E-2</v>
      </c>
      <c r="HB8" s="6">
        <v>3.9928886061005003E-2</v>
      </c>
      <c r="HC8" s="6">
        <v>3.7783438501214697E-2</v>
      </c>
      <c r="HD8" s="6">
        <v>4.2921104532780099E-2</v>
      </c>
      <c r="HE8" s="6">
        <v>4.3903967142871897E-2</v>
      </c>
      <c r="HF8" s="6">
        <v>4.0046262393840702E-2</v>
      </c>
      <c r="HG8" s="6">
        <v>3.98984277563064E-2</v>
      </c>
      <c r="HH8" s="6">
        <v>4.4063147787921801E-2</v>
      </c>
      <c r="HI8" s="6">
        <v>4.0213539108939399E-2</v>
      </c>
      <c r="HJ8" s="6">
        <v>3.2744167501146303E-2</v>
      </c>
      <c r="HK8" s="6">
        <v>3.9227025978727903E-2</v>
      </c>
      <c r="HL8" s="6">
        <v>3.9272933535277901E-2</v>
      </c>
      <c r="HM8" s="6">
        <v>4.3394053050871302E-2</v>
      </c>
      <c r="HN8" s="6">
        <v>4.4153026548475999E-2</v>
      </c>
      <c r="HO8" s="6">
        <v>4.1511243344944201E-2</v>
      </c>
      <c r="HP8" s="6">
        <v>3.5699356387491298E-2</v>
      </c>
      <c r="HQ8" s="6">
        <v>4.0986248452432802E-2</v>
      </c>
      <c r="HR8" s="6">
        <v>4.1209727947728599E-2</v>
      </c>
      <c r="HS8" s="6">
        <v>4.1344995306733003E-2</v>
      </c>
      <c r="HT8" s="6">
        <v>4.1043367247202603E-2</v>
      </c>
      <c r="HU8" s="6">
        <v>3.6278092743722103E-2</v>
      </c>
      <c r="HV8" s="6">
        <v>4.4005297715750798E-2</v>
      </c>
      <c r="HW8" s="6">
        <v>3.8632851153776397E-2</v>
      </c>
      <c r="HX8" s="6">
        <v>3.8918802106848498E-2</v>
      </c>
      <c r="HY8" s="6">
        <v>4.7264543784629499E-2</v>
      </c>
      <c r="HZ8" s="6">
        <v>4.41251381372409E-2</v>
      </c>
      <c r="IA8" s="6">
        <v>3.7530717659070498E-2</v>
      </c>
      <c r="IB8" s="6">
        <v>4.1240795660625301E-2</v>
      </c>
      <c r="IC8" s="6">
        <v>3.6281386434207197E-2</v>
      </c>
      <c r="ID8" s="6">
        <v>3.9951905628249199E-2</v>
      </c>
      <c r="IE8" s="6">
        <v>4.1486068499011403E-2</v>
      </c>
      <c r="IF8" s="6">
        <v>3.9984014486710198E-2</v>
      </c>
      <c r="IG8" s="6">
        <v>4.0224240250735899E-2</v>
      </c>
      <c r="IH8" s="6">
        <v>3.6305887978582398E-2</v>
      </c>
      <c r="II8" s="6">
        <v>3.3174324765829301E-2</v>
      </c>
      <c r="IJ8" s="6">
        <v>4.1079153321720699E-2</v>
      </c>
      <c r="IK8" s="6">
        <v>3.6847431501143203E-2</v>
      </c>
      <c r="IL8" s="6">
        <v>4.3418934608000899E-2</v>
      </c>
      <c r="IM8" s="6">
        <v>4.2187893017672201E-2</v>
      </c>
      <c r="IN8" s="6">
        <v>3.9541262924261598E-2</v>
      </c>
      <c r="IO8" s="6">
        <v>4.1849617868938302E-2</v>
      </c>
      <c r="IP8" s="6">
        <v>4.3099979712726E-2</v>
      </c>
      <c r="IQ8" s="6">
        <v>4.0059518929947302E-2</v>
      </c>
      <c r="IR8" s="6">
        <v>4.0229819326753999E-2</v>
      </c>
      <c r="IS8" s="6">
        <v>3.9940269247611002E-2</v>
      </c>
      <c r="IT8" s="6">
        <v>4.3696926164390699E-2</v>
      </c>
      <c r="IU8" s="6">
        <v>3.9341116971926E-2</v>
      </c>
      <c r="IV8" s="6">
        <v>3.8058613111416097E-2</v>
      </c>
      <c r="IW8" s="6">
        <v>4.0701432223463598E-2</v>
      </c>
      <c r="IX8" s="6">
        <v>3.8326959892214602E-2</v>
      </c>
      <c r="IY8" s="6">
        <v>4.1293717718537501E-2</v>
      </c>
      <c r="IZ8" s="6">
        <v>3.6381414456513099E-2</v>
      </c>
      <c r="JA8" s="6">
        <v>3.9253581544562703E-2</v>
      </c>
      <c r="JB8" s="6">
        <v>3.8024771001350502E-2</v>
      </c>
      <c r="JC8" s="6">
        <v>4.1160172736315802E-2</v>
      </c>
      <c r="JD8" s="6">
        <v>4.2337666690312803E-2</v>
      </c>
      <c r="JE8" s="6">
        <v>3.2010290992284501E-2</v>
      </c>
      <c r="JF8" s="6">
        <v>3.9733759941165299E-2</v>
      </c>
      <c r="JG8" s="6">
        <v>3.8983445387999999E-2</v>
      </c>
      <c r="JH8" s="6">
        <v>4.01826663065986E-2</v>
      </c>
      <c r="JI8" s="6">
        <v>4.2115195146968598E-2</v>
      </c>
      <c r="JJ8" s="6">
        <v>3.6632602211493302E-2</v>
      </c>
      <c r="JK8" s="6">
        <v>3.9568672350740998E-2</v>
      </c>
      <c r="JL8" s="6">
        <v>4.3336492428720702E-2</v>
      </c>
      <c r="JM8" s="6">
        <v>3.7071160043442998E-2</v>
      </c>
      <c r="JN8" s="6">
        <v>4.43798519681214E-2</v>
      </c>
      <c r="JO8" s="6">
        <v>4.0397493503863999E-2</v>
      </c>
      <c r="JP8" s="6">
        <v>4.2932721994693598E-2</v>
      </c>
      <c r="JQ8" s="6">
        <v>3.4931936953291297E-2</v>
      </c>
      <c r="JR8" s="6">
        <v>3.8149543839541999E-2</v>
      </c>
      <c r="JS8" s="6">
        <v>3.77671214726545E-2</v>
      </c>
      <c r="JT8" s="6">
        <v>4.1018231763675597E-2</v>
      </c>
      <c r="JU8" s="6">
        <v>4.2710574652463203E-2</v>
      </c>
      <c r="JV8" s="6">
        <v>3.9828787578497699E-2</v>
      </c>
      <c r="JW8" s="6">
        <v>4.0722389160855001E-2</v>
      </c>
      <c r="JX8" s="6">
        <v>3.96485827699668E-2</v>
      </c>
      <c r="JY8" s="6">
        <v>4.0141487083051403E-2</v>
      </c>
      <c r="JZ8" s="6">
        <v>3.7326027141559102E-2</v>
      </c>
      <c r="KA8" s="6">
        <v>3.8349720840853502E-2</v>
      </c>
      <c r="KB8" s="6">
        <v>4.4936559288409603E-2</v>
      </c>
      <c r="KC8" s="6">
        <v>3.8918774602813601E-2</v>
      </c>
      <c r="KD8" s="6">
        <v>3.7736308960169898E-2</v>
      </c>
      <c r="KE8" s="6">
        <v>3.9668515420930001E-2</v>
      </c>
      <c r="KF8" s="6">
        <v>4.6736432332425797E-2</v>
      </c>
      <c r="KG8" s="6">
        <v>3.8335020292128999E-2</v>
      </c>
      <c r="KH8" s="6">
        <v>4.03684122698931E-2</v>
      </c>
      <c r="KI8" s="6">
        <v>4.5556596173457399E-2</v>
      </c>
      <c r="KJ8" s="6">
        <v>3.7260938265016398E-2</v>
      </c>
      <c r="KK8" s="6">
        <v>3.5215185523393998E-2</v>
      </c>
      <c r="KL8" s="6">
        <v>4.2799918219705801E-2</v>
      </c>
      <c r="KM8" s="6">
        <v>4.4288523538070702E-2</v>
      </c>
      <c r="KN8" s="6">
        <v>4.3535922737610797E-2</v>
      </c>
      <c r="KO8" s="6">
        <v>4.4264853112036498E-2</v>
      </c>
      <c r="KP8" s="6">
        <v>3.9422261080339201E-2</v>
      </c>
      <c r="KQ8" s="6">
        <v>3.5184256986348E-2</v>
      </c>
      <c r="KR8" s="6">
        <v>4.4342371161087302E-2</v>
      </c>
      <c r="KS8" s="6">
        <v>3.90091836683562E-2</v>
      </c>
      <c r="KT8" s="6">
        <v>3.9617575932816597E-2</v>
      </c>
      <c r="KU8" s="6">
        <v>4.2209418942411502E-2</v>
      </c>
      <c r="KV8" s="6">
        <v>5.0799176359891E-2</v>
      </c>
      <c r="KW8" s="6">
        <v>4.44000272952439E-2</v>
      </c>
      <c r="KX8" s="6">
        <v>4.5713460796058501E-2</v>
      </c>
      <c r="KY8" s="6">
        <v>3.9152187189298297E-2</v>
      </c>
      <c r="KZ8" s="6">
        <v>4.4600184193059403E-2</v>
      </c>
      <c r="LA8" s="6">
        <v>4.3015317248827102E-2</v>
      </c>
      <c r="LB8" s="6">
        <v>4.0918674415429103E-2</v>
      </c>
      <c r="LC8" s="6">
        <v>4.4372756596714101E-2</v>
      </c>
      <c r="LD8" s="6">
        <v>4.5878736471329402E-2</v>
      </c>
      <c r="LE8" s="6">
        <v>4.7929680365692999E-2</v>
      </c>
      <c r="LF8" s="6">
        <v>3.81763116051504E-2</v>
      </c>
      <c r="LG8" s="6">
        <v>3.7936250025927203E-2</v>
      </c>
      <c r="LH8" s="6">
        <v>3.8563818966255901E-2</v>
      </c>
      <c r="LI8" s="6">
        <v>4.01496389757676E-2</v>
      </c>
      <c r="LJ8" s="6">
        <v>4.1500907083060902E-2</v>
      </c>
      <c r="LK8" s="6">
        <v>4.2413317249769197E-2</v>
      </c>
      <c r="LL8" s="6">
        <v>4.1401973481078297E-2</v>
      </c>
      <c r="LM8" s="6">
        <v>4.1419751167769997E-2</v>
      </c>
      <c r="LN8" s="6">
        <v>4.2518136861146603E-2</v>
      </c>
      <c r="LO8" s="6">
        <v>4.3175133735599398E-2</v>
      </c>
      <c r="LP8" s="6">
        <v>3.8319547344091903E-2</v>
      </c>
      <c r="LQ8" s="6">
        <v>3.8245212100344497E-2</v>
      </c>
      <c r="LR8" s="6">
        <v>4.0970132879934902E-2</v>
      </c>
      <c r="LS8" s="6">
        <v>3.7822243557483801E-2</v>
      </c>
      <c r="LT8" s="6">
        <v>4.15161350218183E-2</v>
      </c>
      <c r="LU8" s="6">
        <v>3.8987881545356803E-2</v>
      </c>
      <c r="LV8" s="6">
        <v>4.2905377471127597E-2</v>
      </c>
      <c r="LW8" s="6">
        <v>4.7791772368941297E-2</v>
      </c>
      <c r="LX8" s="6">
        <v>4.1335864665363403E-2</v>
      </c>
      <c r="LY8" s="6">
        <v>4.1180599860568101E-2</v>
      </c>
      <c r="LZ8" s="6">
        <v>3.91785881360628E-2</v>
      </c>
      <c r="MA8" s="6">
        <v>4.1585831603368401E-2</v>
      </c>
      <c r="MB8" s="6">
        <v>4.7680169221537803E-2</v>
      </c>
      <c r="MC8" s="6">
        <v>3.9370298565091097E-2</v>
      </c>
      <c r="MD8" s="6">
        <v>4.2834375126014901E-2</v>
      </c>
      <c r="ME8" s="6">
        <v>4.3635400416050303E-2</v>
      </c>
      <c r="MF8" s="6">
        <v>3.7136344552648602E-2</v>
      </c>
      <c r="MG8" s="6">
        <v>3.8172017844982399E-2</v>
      </c>
      <c r="MH8" s="6">
        <v>4.25914463049758E-2</v>
      </c>
      <c r="MI8" s="6">
        <v>3.6049743342643902E-2</v>
      </c>
      <c r="MJ8" s="6">
        <v>3.9546707936516899E-2</v>
      </c>
      <c r="MK8" s="6">
        <v>3.42815462767532E-2</v>
      </c>
      <c r="ML8" s="6">
        <v>4.49709051803363E-2</v>
      </c>
      <c r="MM8" s="6">
        <v>3.9979723081069202E-2</v>
      </c>
      <c r="MN8" s="6">
        <v>4.5163728415006502E-2</v>
      </c>
      <c r="MO8" s="6">
        <v>3.9676132014109702E-2</v>
      </c>
      <c r="MP8" s="6">
        <v>4.1142359767936801E-2</v>
      </c>
      <c r="MQ8" s="6">
        <v>3.90098680801131E-2</v>
      </c>
      <c r="MR8" s="6">
        <v>3.4372353680039998E-2</v>
      </c>
      <c r="MS8" s="6">
        <v>4.8888021935642803E-2</v>
      </c>
      <c r="MT8" s="6">
        <v>3.5771039214713397E-2</v>
      </c>
      <c r="MU8" s="6">
        <v>4.1438828519089199E-2</v>
      </c>
      <c r="MV8" s="6">
        <v>3.8069982752102403E-2</v>
      </c>
      <c r="MW8" s="6">
        <v>4.1837695468992103E-2</v>
      </c>
      <c r="MX8" s="6">
        <v>4.2360382806889398E-2</v>
      </c>
      <c r="MY8" s="6">
        <v>4.7453861143865697E-2</v>
      </c>
      <c r="MZ8" s="6">
        <v>4.7533479690008602E-2</v>
      </c>
      <c r="NA8" s="6">
        <v>4.1092465765369998E-2</v>
      </c>
      <c r="NB8" s="6">
        <v>4.0354913935618797E-2</v>
      </c>
      <c r="NC8" s="6">
        <v>3.8459830708040897E-2</v>
      </c>
      <c r="ND8" s="6">
        <v>3.5957275919662197E-2</v>
      </c>
      <c r="NE8" s="6">
        <v>3.8776875345351201E-2</v>
      </c>
      <c r="NF8" s="6">
        <v>3.9519271612353302E-2</v>
      </c>
      <c r="NG8" s="6">
        <v>3.7210582941856703E-2</v>
      </c>
      <c r="NH8" s="6">
        <v>4.7907710096626303E-2</v>
      </c>
      <c r="NI8" s="6">
        <v>3.9017649064409597E-2</v>
      </c>
      <c r="NJ8" s="6">
        <v>4.2269505738802199E-2</v>
      </c>
      <c r="NK8" s="6">
        <v>4.1020992751458499E-2</v>
      </c>
      <c r="NL8" s="6">
        <v>4.2394411147562101E-2</v>
      </c>
      <c r="NM8" s="6">
        <v>4.0544570325236E-2</v>
      </c>
      <c r="NN8" s="6">
        <v>3.8902145950124797E-2</v>
      </c>
      <c r="NO8" s="6">
        <v>4.5186562440486001E-2</v>
      </c>
      <c r="NP8" s="6">
        <v>4.0532689477427601E-2</v>
      </c>
      <c r="NQ8" s="6">
        <v>3.6598176664807497E-2</v>
      </c>
      <c r="NR8" s="6">
        <v>3.9887901158579202E-2</v>
      </c>
      <c r="NS8" s="6">
        <v>4.1555000798593297E-2</v>
      </c>
      <c r="NT8" s="6">
        <v>4.0237218645826897E-2</v>
      </c>
      <c r="NU8" s="6">
        <v>3.4690719591839198E-2</v>
      </c>
      <c r="NV8" s="6">
        <v>3.8452994773833703E-2</v>
      </c>
      <c r="NW8" s="6">
        <v>4.3013756887155197E-2</v>
      </c>
      <c r="NX8" s="6">
        <v>3.8595334757141199E-2</v>
      </c>
      <c r="NY8" s="6">
        <v>3.9759802789318198E-2</v>
      </c>
      <c r="NZ8" s="6">
        <v>4.0573470529691701E-2</v>
      </c>
      <c r="OA8" s="6">
        <v>4.2893839703977601E-2</v>
      </c>
      <c r="OB8" s="6">
        <v>3.4384957249988302E-2</v>
      </c>
      <c r="OC8" s="6">
        <v>5.1083340888179903E-2</v>
      </c>
      <c r="OD8" s="6">
        <v>3.8703975912502103E-2</v>
      </c>
      <c r="OE8" s="6">
        <v>3.8526350969925002E-2</v>
      </c>
      <c r="OF8" s="6">
        <v>3.7331231898934197E-2</v>
      </c>
      <c r="OG8" s="6">
        <v>4.6366161672142803E-2</v>
      </c>
      <c r="OH8" s="6">
        <v>3.9897690811991599E-2</v>
      </c>
      <c r="OI8" s="6">
        <v>3.5103551863164002E-2</v>
      </c>
      <c r="OJ8" s="6">
        <v>3.3537996590403303E-2</v>
      </c>
      <c r="OK8" s="6">
        <v>3.6744288967813003E-2</v>
      </c>
      <c r="OL8" s="6">
        <v>4.2551058509348802E-2</v>
      </c>
      <c r="OM8" s="6">
        <v>4.4725041952218499E-2</v>
      </c>
      <c r="ON8" s="6">
        <v>3.45913645416564E-2</v>
      </c>
      <c r="OO8" s="6">
        <v>3.5436099219759702E-2</v>
      </c>
      <c r="OP8" s="6">
        <v>4.3445464261051697E-2</v>
      </c>
      <c r="OQ8" s="6">
        <v>4.4373044346579002E-2</v>
      </c>
      <c r="OR8" s="6">
        <v>3.9585096284265001E-2</v>
      </c>
      <c r="OS8" s="6">
        <v>3.74054141625857E-2</v>
      </c>
      <c r="OT8" s="6">
        <v>4.3616761585422603E-2</v>
      </c>
      <c r="OU8" s="6">
        <v>4.0590628058362603E-2</v>
      </c>
      <c r="OV8" s="6">
        <v>3.97210827903366E-2</v>
      </c>
      <c r="OW8" s="6">
        <v>3.9492199747309199E-2</v>
      </c>
      <c r="OX8" s="6">
        <v>4.1994613830443103E-2</v>
      </c>
      <c r="OY8" s="6">
        <v>4.0103742240099202E-2</v>
      </c>
      <c r="OZ8" s="6">
        <v>3.61230583807889E-2</v>
      </c>
      <c r="PA8" s="6">
        <v>4.1793054658863599E-2</v>
      </c>
      <c r="PB8" s="6">
        <v>3.9998512083358903E-2</v>
      </c>
      <c r="PC8" s="6">
        <v>3.79707943136861E-2</v>
      </c>
      <c r="PD8" s="6">
        <v>3.7932198777456398E-2</v>
      </c>
      <c r="PE8" s="6">
        <v>4.6437905127823101E-2</v>
      </c>
      <c r="PF8" s="6">
        <v>3.8434541796409698E-2</v>
      </c>
      <c r="PG8" s="6">
        <v>3.4076185804996099E-2</v>
      </c>
      <c r="PH8" s="6">
        <v>3.9925761816573903E-2</v>
      </c>
      <c r="PI8" s="6">
        <v>3.75337093680791E-2</v>
      </c>
      <c r="PJ8" s="6">
        <v>4.3747427684814301E-2</v>
      </c>
      <c r="PK8" s="6">
        <v>3.4835770236586197E-2</v>
      </c>
      <c r="PL8" s="6">
        <v>4.2416016431648398E-2</v>
      </c>
      <c r="PM8" s="6">
        <v>3.2664796875525898E-2</v>
      </c>
      <c r="PN8" s="6">
        <v>3.8982129024955597E-2</v>
      </c>
      <c r="PO8" s="6">
        <v>3.9284768317927897E-2</v>
      </c>
      <c r="PP8" s="6">
        <v>3.7474510880256801E-2</v>
      </c>
      <c r="PQ8" s="6">
        <v>3.8369894219760503E-2</v>
      </c>
      <c r="PR8" s="6">
        <v>4.1871456150799298E-2</v>
      </c>
      <c r="PS8" s="6">
        <v>4.0334708150077697E-2</v>
      </c>
      <c r="PT8" s="6">
        <v>4.3155267967658797E-2</v>
      </c>
      <c r="PU8" s="6">
        <v>4.4070400128926497E-2</v>
      </c>
      <c r="PV8" s="6">
        <v>4.1629757107306001E-2</v>
      </c>
      <c r="PW8" s="6">
        <v>4.1026349720402297E-2</v>
      </c>
      <c r="PX8" s="6">
        <v>3.9822796105845E-2</v>
      </c>
      <c r="PY8" s="6">
        <v>3.4966163067392003E-2</v>
      </c>
      <c r="PZ8" s="6">
        <v>4.0571061618128297E-2</v>
      </c>
      <c r="QA8" s="6">
        <v>4.6370410057101498E-2</v>
      </c>
      <c r="QB8" s="6">
        <v>4.6019692028496401E-2</v>
      </c>
      <c r="QC8" s="6">
        <v>4.2499642072619102E-2</v>
      </c>
      <c r="QD8" s="6">
        <v>3.7959733571381098E-2</v>
      </c>
      <c r="QE8" s="6">
        <v>4.1733595849608798E-2</v>
      </c>
      <c r="QF8" s="6">
        <v>3.8014282869018402E-2</v>
      </c>
      <c r="QG8" s="6">
        <v>4.40503980209817E-2</v>
      </c>
      <c r="QH8" s="6">
        <v>3.8679702538977401E-2</v>
      </c>
      <c r="QI8" s="6">
        <v>4.2525758862475803E-2</v>
      </c>
      <c r="QJ8" s="6">
        <v>4.1704089025368797E-2</v>
      </c>
      <c r="QK8" s="6">
        <v>3.6613810057746499E-2</v>
      </c>
      <c r="QL8" s="6">
        <v>3.7791075504119302E-2</v>
      </c>
      <c r="QM8" s="6">
        <v>4.2701613978071297E-2</v>
      </c>
      <c r="QN8" s="6">
        <v>3.94855282355999E-2</v>
      </c>
      <c r="QO8" s="6">
        <v>4.08924227819586E-2</v>
      </c>
      <c r="QP8" s="6">
        <v>4.3536368472367699E-2</v>
      </c>
      <c r="QQ8" s="6">
        <v>4.06769882085369E-2</v>
      </c>
      <c r="QR8" s="6">
        <v>3.8485114994328898E-2</v>
      </c>
      <c r="QS8" s="6">
        <v>3.8324862117571697E-2</v>
      </c>
      <c r="QT8" s="6">
        <v>4.3588692892066197E-2</v>
      </c>
      <c r="QU8" s="6">
        <v>4.2728958002397302E-2</v>
      </c>
      <c r="QV8" s="6">
        <v>4.2521037710439101E-2</v>
      </c>
      <c r="QW8" s="6">
        <v>4.8312732276726902E-2</v>
      </c>
      <c r="QX8" s="6">
        <v>4.1200500584177999E-2</v>
      </c>
      <c r="QY8" s="6">
        <v>4.5736141882203603E-2</v>
      </c>
      <c r="QZ8" s="6">
        <v>3.97550125261769E-2</v>
      </c>
      <c r="RA8" s="6">
        <v>4.0391517063926699E-2</v>
      </c>
      <c r="RB8" s="6">
        <v>3.6514537309075598E-2</v>
      </c>
      <c r="RC8" s="6">
        <v>3.8485215833408498E-2</v>
      </c>
      <c r="RD8" s="6">
        <v>4.2054438671250201E-2</v>
      </c>
      <c r="RE8" s="6">
        <v>3.7770538096901597E-2</v>
      </c>
      <c r="RF8" s="6">
        <v>3.8357085492268302E-2</v>
      </c>
      <c r="RG8" s="6">
        <v>3.2010409481106103E-2</v>
      </c>
      <c r="RH8" s="6">
        <v>3.5721394934449299E-2</v>
      </c>
      <c r="RI8" s="6">
        <v>4.24538355596576E-2</v>
      </c>
      <c r="RJ8" s="6">
        <v>4.0383349034842898E-2</v>
      </c>
      <c r="RK8" s="6">
        <v>4.3419465208221097E-2</v>
      </c>
      <c r="RL8" s="6">
        <v>3.2900757825927301E-2</v>
      </c>
      <c r="RM8" s="6">
        <v>3.7241277450597E-2</v>
      </c>
      <c r="RN8" s="6">
        <v>3.7728713452794299E-2</v>
      </c>
      <c r="RO8" s="6">
        <v>4.2964153535431898E-2</v>
      </c>
      <c r="RP8" s="6">
        <v>4.3617718467165098E-2</v>
      </c>
      <c r="RQ8" s="6">
        <v>3.9827592957134998E-2</v>
      </c>
      <c r="RR8" s="6">
        <v>3.5507258694949598E-2</v>
      </c>
      <c r="RS8" s="6">
        <v>3.94253313410576E-2</v>
      </c>
      <c r="RT8" s="6">
        <v>4.1456480576155703E-2</v>
      </c>
      <c r="RU8" s="6">
        <v>6.9056016612961499E-2</v>
      </c>
      <c r="RV8" s="6">
        <v>4.0082754383460401E-2</v>
      </c>
      <c r="RW8" s="6">
        <v>3.1691626225807297E-2</v>
      </c>
      <c r="RX8" s="6">
        <v>3.4287855735514502E-2</v>
      </c>
      <c r="RY8" s="6">
        <v>3.8333725057649197E-2</v>
      </c>
      <c r="RZ8" s="6">
        <v>4.3657458611704399E-2</v>
      </c>
      <c r="SA8" s="6">
        <v>4.5220888278354597E-2</v>
      </c>
      <c r="SB8" s="6">
        <v>4.1161612311662203E-2</v>
      </c>
      <c r="SC8" s="6">
        <v>3.86911665057608E-2</v>
      </c>
      <c r="SD8" s="6">
        <v>3.6920500719690601E-2</v>
      </c>
      <c r="SE8" s="6">
        <v>4.0830049302583798E-2</v>
      </c>
      <c r="SF8" s="6">
        <v>3.3637530528080398E-2</v>
      </c>
      <c r="SG8" s="6">
        <v>3.7701685653596301E-2</v>
      </c>
      <c r="SH8" s="6">
        <v>3.9504460404859297E-2</v>
      </c>
      <c r="SI8" s="6">
        <v>3.5049439049133997E-2</v>
      </c>
      <c r="SJ8" s="6">
        <v>3.8019740496722097E-2</v>
      </c>
      <c r="SK8" s="6">
        <v>3.6083473925735098E-2</v>
      </c>
      <c r="SL8" s="6">
        <v>3.6213794713620198E-2</v>
      </c>
      <c r="SM8" s="6">
        <v>3.69312170551922E-2</v>
      </c>
      <c r="SN8" s="6">
        <v>4.1393094305132203E-2</v>
      </c>
      <c r="SO8" s="6">
        <v>3.48126188014743E-2</v>
      </c>
      <c r="SP8" s="6">
        <v>3.8864307260303099E-2</v>
      </c>
      <c r="SQ8" s="6">
        <v>3.8295165550264999E-2</v>
      </c>
      <c r="SR8" s="6">
        <v>4.4499273155952999E-2</v>
      </c>
      <c r="SS8" s="6">
        <v>4.7851264731408397E-2</v>
      </c>
      <c r="ST8" s="6">
        <v>3.8885297642149701E-2</v>
      </c>
      <c r="SU8" s="6">
        <v>3.8052001198797897E-2</v>
      </c>
      <c r="SV8" s="6">
        <v>4.1812853935800198E-2</v>
      </c>
      <c r="SW8" s="6">
        <v>3.93491134487945E-2</v>
      </c>
      <c r="SX8" s="6">
        <v>4.4376504932577297E-2</v>
      </c>
      <c r="SY8" s="6">
        <v>4.3329433591633201E-2</v>
      </c>
      <c r="SZ8" s="6">
        <v>3.5346371460599699E-2</v>
      </c>
      <c r="TA8" s="6">
        <v>3.6977667336178202E-2</v>
      </c>
      <c r="TB8" s="6">
        <v>3.5865978924055103E-2</v>
      </c>
      <c r="TC8" s="6">
        <v>4.5591232328972602E-2</v>
      </c>
      <c r="TD8" s="6">
        <v>3.8638961440380197E-2</v>
      </c>
      <c r="TE8" s="6">
        <v>3.6473625954323401E-2</v>
      </c>
      <c r="TF8" s="6">
        <v>3.8651181199580997E-2</v>
      </c>
      <c r="TG8" s="6">
        <v>4.5567931512810397E-2</v>
      </c>
      <c r="TH8" s="6">
        <v>3.9199989935332698E-2</v>
      </c>
      <c r="TI8" s="6">
        <v>3.8212215153176597E-2</v>
      </c>
      <c r="TJ8" s="6">
        <v>4.1831945314652799E-2</v>
      </c>
      <c r="TK8" s="6">
        <v>4.0886940494906002E-2</v>
      </c>
      <c r="TL8" s="6">
        <v>4.60495421378413E-2</v>
      </c>
      <c r="TM8" s="6">
        <v>4.0740462598349403E-2</v>
      </c>
      <c r="TN8" s="6">
        <v>4.0895622464430098E-2</v>
      </c>
      <c r="TO8" s="6">
        <v>3.7583779950383103E-2</v>
      </c>
      <c r="TP8" s="6">
        <v>3.75666779139021E-2</v>
      </c>
      <c r="TQ8" s="6">
        <v>4.6354940123649602E-2</v>
      </c>
    </row>
    <row r="9" spans="1:537" x14ac:dyDescent="0.3">
      <c r="A9" s="14"/>
      <c r="B9" s="14"/>
      <c r="C9" s="14"/>
      <c r="D9" s="14"/>
      <c r="E9" s="14"/>
      <c r="F9" s="14"/>
      <c r="H9" s="19" t="s">
        <v>84</v>
      </c>
      <c r="I9" s="19" t="s">
        <v>10</v>
      </c>
      <c r="J9" s="26">
        <f t="shared" si="5"/>
        <v>1.463508912237721E-3</v>
      </c>
      <c r="K9" s="20">
        <v>4.2279238900000002E-2</v>
      </c>
      <c r="L9" s="5"/>
      <c r="M9" s="19" t="s">
        <v>84</v>
      </c>
      <c r="N9" s="19" t="s">
        <v>10</v>
      </c>
      <c r="O9" s="26">
        <f t="shared" si="6"/>
        <v>1.3832439812750228E-3</v>
      </c>
      <c r="P9" s="20">
        <f t="shared" si="7"/>
        <v>3.5077920624002092E-2</v>
      </c>
      <c r="Q9" s="5"/>
      <c r="R9" s="19" t="s">
        <v>84</v>
      </c>
      <c r="S9" s="19" t="s">
        <v>10</v>
      </c>
      <c r="T9" s="26">
        <f t="shared" si="8"/>
        <v>1.5268252880902332E-3</v>
      </c>
      <c r="U9" s="20">
        <f t="shared" si="9"/>
        <v>5.184470477322501E-2</v>
      </c>
      <c r="AF9" s="1" t="s">
        <v>81</v>
      </c>
      <c r="AG9" s="15">
        <f t="shared" si="0"/>
        <v>0.13659180902540649</v>
      </c>
      <c r="AH9" s="16">
        <f t="shared" si="1"/>
        <v>0.43341761232718873</v>
      </c>
      <c r="AI9" s="1">
        <f t="shared" si="2"/>
        <v>1.1103988008160086</v>
      </c>
      <c r="AJ9" s="6">
        <f t="shared" si="3"/>
        <v>0.95872741987290799</v>
      </c>
      <c r="AK9" s="17">
        <f t="shared" si="4"/>
        <v>1.5916651977966567</v>
      </c>
      <c r="AL9" s="1">
        <v>1.20667046500271</v>
      </c>
      <c r="AM9" s="1">
        <v>1.31466724429177</v>
      </c>
      <c r="AN9" s="1">
        <v>0.95874089117408601</v>
      </c>
      <c r="AO9" s="6">
        <v>1.25092235987186</v>
      </c>
      <c r="AP9" s="6">
        <v>1.0211606796361801</v>
      </c>
      <c r="AQ9" s="6">
        <v>1.02378018559498</v>
      </c>
      <c r="AR9" s="6">
        <v>1.2073054326263499</v>
      </c>
      <c r="AS9" s="6">
        <v>1.3076761917194499</v>
      </c>
      <c r="AT9" s="6">
        <v>1.23096956157505</v>
      </c>
      <c r="AU9" s="6">
        <v>1.30749553003135</v>
      </c>
      <c r="AV9" s="6">
        <v>1.2746703240536099</v>
      </c>
      <c r="AW9" s="6">
        <v>1.50830314240799</v>
      </c>
      <c r="AX9" s="6">
        <v>1.06946978266402</v>
      </c>
      <c r="AY9" s="6">
        <v>1.24813119446531</v>
      </c>
      <c r="AZ9" s="6">
        <v>1.10459548120503</v>
      </c>
      <c r="BA9" s="6">
        <v>1.5915822811542999</v>
      </c>
      <c r="BB9" s="6">
        <v>0.92600250931055195</v>
      </c>
      <c r="BC9" s="6">
        <v>1.1767812041597201</v>
      </c>
      <c r="BD9" s="6">
        <v>0.86084170008424898</v>
      </c>
      <c r="BE9" s="6">
        <v>1.00452061393614</v>
      </c>
      <c r="BF9" s="6">
        <v>1.57635771977449</v>
      </c>
      <c r="BG9" s="6">
        <v>1.4336983296413</v>
      </c>
      <c r="BH9" s="6">
        <v>1.0742326812846199</v>
      </c>
      <c r="BI9" s="6">
        <v>1.37345807528289</v>
      </c>
      <c r="BJ9" s="6">
        <v>1.77828429286422</v>
      </c>
      <c r="BK9" s="6">
        <v>1.39023943396409</v>
      </c>
      <c r="BL9" s="6">
        <v>1.28809224929468</v>
      </c>
      <c r="BM9" s="6">
        <v>1.18392732003395</v>
      </c>
      <c r="BN9" s="6">
        <v>-1.6211825991872799</v>
      </c>
      <c r="BO9" s="6">
        <v>1.3545160991203</v>
      </c>
      <c r="BP9" s="6">
        <v>1.63955983509164</v>
      </c>
      <c r="BQ9" s="6">
        <v>1.2897693300456301</v>
      </c>
      <c r="BR9" s="6">
        <v>1.2160555033504401</v>
      </c>
      <c r="BS9" s="6">
        <v>1.20750523315363</v>
      </c>
      <c r="BT9" s="6">
        <v>1.4424748198322599</v>
      </c>
      <c r="BU9" s="6">
        <v>1.2142220656081899</v>
      </c>
      <c r="BV9" s="6">
        <v>0.86232412189886498</v>
      </c>
      <c r="BW9" s="6">
        <v>1.36554596745434</v>
      </c>
      <c r="BX9" s="6">
        <v>1.41315818130338</v>
      </c>
      <c r="BY9" s="6">
        <v>1.04752391732524</v>
      </c>
      <c r="BZ9" s="6">
        <v>0.82257665992932905</v>
      </c>
      <c r="CA9" s="6">
        <v>1.05991842293337</v>
      </c>
      <c r="CB9" s="6">
        <v>1.7547869305028001</v>
      </c>
      <c r="CC9" s="6">
        <v>1.1921109919312101</v>
      </c>
      <c r="CD9" s="6">
        <v>1.2900129176348201</v>
      </c>
      <c r="CE9" s="6">
        <v>1.0382189349919499</v>
      </c>
      <c r="CF9" s="6">
        <v>1.02453353147519</v>
      </c>
      <c r="CG9" s="6">
        <v>1.5465931456897699</v>
      </c>
      <c r="CH9" s="6">
        <v>1.46236846347317</v>
      </c>
      <c r="CI9" s="6">
        <v>1.5932406140014399</v>
      </c>
      <c r="CJ9" s="6">
        <v>1.21353318580919</v>
      </c>
      <c r="CK9" s="6">
        <v>1.38950454211042</v>
      </c>
      <c r="CL9" s="6">
        <v>1.04537303861829</v>
      </c>
      <c r="CM9" s="6">
        <v>1.41258935356445</v>
      </c>
      <c r="CN9" s="6">
        <v>1.15684241085544</v>
      </c>
      <c r="CO9" s="6">
        <v>1.05384442395394</v>
      </c>
      <c r="CP9" s="6">
        <v>1.1531894658917601</v>
      </c>
      <c r="CQ9" s="6">
        <v>1.2731550775964</v>
      </c>
      <c r="CR9" s="6">
        <v>1.0865152461524901</v>
      </c>
      <c r="CS9" s="6">
        <v>1.3131503206184101</v>
      </c>
      <c r="CT9" s="6">
        <v>1.3118824155561</v>
      </c>
      <c r="CU9" s="6">
        <v>1.2874073763428699</v>
      </c>
      <c r="CV9" s="6">
        <v>1.1671557097612</v>
      </c>
      <c r="CW9" s="6">
        <v>1.1710027895522801</v>
      </c>
      <c r="CX9" s="6">
        <v>1.2918173580936301</v>
      </c>
      <c r="CY9" s="6">
        <v>1.1258402229022999</v>
      </c>
      <c r="CZ9" s="6">
        <v>1.2685265535246699</v>
      </c>
      <c r="DA9" s="6">
        <v>1.2171023812192301</v>
      </c>
      <c r="DB9" s="6">
        <v>1.3909132248829199</v>
      </c>
      <c r="DC9" s="6">
        <v>1.03617134970614</v>
      </c>
      <c r="DD9" s="6">
        <v>1.04090410789229</v>
      </c>
      <c r="DE9" s="6">
        <v>1.0489081586917099</v>
      </c>
      <c r="DF9" s="6">
        <v>1.1903092985743799</v>
      </c>
      <c r="DG9" s="6">
        <v>1.3194205194234301</v>
      </c>
      <c r="DH9" s="6">
        <v>1.02155150813546</v>
      </c>
      <c r="DI9" s="6">
        <v>1.5280441582695801</v>
      </c>
      <c r="DJ9" s="6">
        <v>1.20768975457565</v>
      </c>
      <c r="DK9" s="6">
        <v>1.0558848377777901</v>
      </c>
      <c r="DL9" s="6">
        <v>1.5210259738899801</v>
      </c>
      <c r="DM9" s="6">
        <v>1.22310160471871</v>
      </c>
      <c r="DN9" s="6">
        <v>1.40775768804507</v>
      </c>
      <c r="DO9" s="6">
        <v>1.0261316333958099</v>
      </c>
      <c r="DP9" s="6">
        <v>1.15047159872062</v>
      </c>
      <c r="DQ9" s="6">
        <v>1.2846479466918499</v>
      </c>
      <c r="DR9" s="6">
        <v>1.11613109738339</v>
      </c>
      <c r="DS9" s="6">
        <v>1.2480353637583299</v>
      </c>
      <c r="DT9" s="6">
        <v>1.6151818451711899</v>
      </c>
      <c r="DU9" s="6">
        <v>0.88345108550456197</v>
      </c>
      <c r="DV9" s="6">
        <v>0.98971976249175597</v>
      </c>
      <c r="DW9" s="6">
        <v>1.1566227377377001</v>
      </c>
      <c r="DX9" s="6">
        <v>1.09709710083153</v>
      </c>
      <c r="DY9" s="6">
        <v>0.90854630604819597</v>
      </c>
      <c r="DZ9" s="6">
        <v>1.3743460559745599</v>
      </c>
      <c r="EA9" s="6">
        <v>1.5011566721194201</v>
      </c>
      <c r="EB9" s="6">
        <v>0.96930830992869399</v>
      </c>
      <c r="EC9" s="6">
        <v>1.0511423127084201</v>
      </c>
      <c r="ED9" s="6">
        <v>1.38872682773307</v>
      </c>
      <c r="EE9" s="6">
        <v>0.97746390293469898</v>
      </c>
      <c r="EF9" s="6">
        <v>1.1446037644645199</v>
      </c>
      <c r="EG9" s="6">
        <v>1.49794484261491</v>
      </c>
      <c r="EH9" s="6">
        <v>1.1053353225215401</v>
      </c>
      <c r="EI9" s="6">
        <v>1.4740639871747101</v>
      </c>
      <c r="EJ9" s="6">
        <v>1.32085337644207</v>
      </c>
      <c r="EK9" s="6">
        <v>1.2881396589465099</v>
      </c>
      <c r="EL9" s="6">
        <v>1.37639232583161</v>
      </c>
      <c r="EM9" s="6">
        <v>1.1488581369424899</v>
      </c>
      <c r="EN9" s="6">
        <v>1.2536218849109999</v>
      </c>
      <c r="EO9" s="6">
        <v>1.0828905990855799</v>
      </c>
      <c r="EP9" s="6">
        <v>1.32850559487666</v>
      </c>
      <c r="EQ9" s="6">
        <v>1.0959276068081001</v>
      </c>
      <c r="ER9" s="6">
        <v>0.95847146515052495</v>
      </c>
      <c r="ES9" s="6">
        <v>1.15428868326103</v>
      </c>
      <c r="ET9" s="6">
        <v>1.0896366161572799</v>
      </c>
      <c r="EU9" s="6">
        <v>1.02966803017451</v>
      </c>
      <c r="EV9" s="6">
        <v>1.5096625747441399</v>
      </c>
      <c r="EW9" s="6">
        <v>1.09837484518714</v>
      </c>
      <c r="EX9" s="6">
        <v>1.4267817867875601</v>
      </c>
      <c r="EY9" s="6">
        <v>1.16021047122424</v>
      </c>
      <c r="EZ9" s="6">
        <v>1.1805169500519499</v>
      </c>
      <c r="FA9" s="6">
        <v>1.2085117859341199</v>
      </c>
      <c r="FB9" s="6">
        <v>1.4547977941505299</v>
      </c>
      <c r="FC9" s="6">
        <v>1.1181116036749099</v>
      </c>
      <c r="FD9" s="6">
        <v>1.40280489707892</v>
      </c>
      <c r="FE9" s="6">
        <v>1.39614385116383</v>
      </c>
      <c r="FF9" s="6">
        <v>1.2743985526208099</v>
      </c>
      <c r="FG9" s="6">
        <v>1.10634547823663</v>
      </c>
      <c r="FH9" s="6">
        <v>0.95922630411798604</v>
      </c>
      <c r="FI9" s="6">
        <v>1.2299134178843001</v>
      </c>
      <c r="FJ9" s="6">
        <v>1.3121363610753201</v>
      </c>
      <c r="FK9" s="6">
        <v>1.24812698166057</v>
      </c>
      <c r="FL9" s="6">
        <v>1.3643636990936201</v>
      </c>
      <c r="FM9" s="6">
        <v>1.4356942039296401</v>
      </c>
      <c r="FN9" s="6">
        <v>1.171146000292</v>
      </c>
      <c r="FO9" s="6">
        <v>1.5162308711174599</v>
      </c>
      <c r="FP9" s="6">
        <v>1.1403516109326199</v>
      </c>
      <c r="FQ9" s="6">
        <v>1.1681236482987301</v>
      </c>
      <c r="FR9" s="6">
        <v>1.3527973337622601</v>
      </c>
      <c r="FS9" s="6">
        <v>1.3352294522667301</v>
      </c>
      <c r="FT9" s="6">
        <v>1.44521799553131</v>
      </c>
      <c r="FU9" s="6">
        <v>1.18539159292152</v>
      </c>
      <c r="FV9" s="6">
        <v>1.0721807064795801</v>
      </c>
      <c r="FW9" s="6">
        <v>1.20015426001409</v>
      </c>
      <c r="FX9" s="6">
        <v>1.1191191899019499</v>
      </c>
      <c r="FY9" s="6">
        <v>1.4763099226551699</v>
      </c>
      <c r="FZ9" s="6">
        <v>1.35270608371971</v>
      </c>
      <c r="GA9" s="6">
        <v>1.39349319641798</v>
      </c>
      <c r="GB9" s="6">
        <v>1.4688312975215101</v>
      </c>
      <c r="GC9" s="6">
        <v>1.2772283256630099</v>
      </c>
      <c r="GD9" s="6">
        <v>1.1332298163463801</v>
      </c>
      <c r="GE9" s="6">
        <v>1.2448137435318301</v>
      </c>
      <c r="GF9" s="6">
        <v>1.7333641409889999</v>
      </c>
      <c r="GG9" s="6">
        <v>1.2580313418750899</v>
      </c>
      <c r="GH9" s="6">
        <v>1.3685663842221001</v>
      </c>
      <c r="GI9" s="6">
        <v>1.60747946722271</v>
      </c>
      <c r="GJ9" s="6">
        <v>1.1106346218601899</v>
      </c>
      <c r="GK9" s="6">
        <v>1.01308107931309</v>
      </c>
      <c r="GL9" s="6">
        <v>1.22095024895846</v>
      </c>
      <c r="GM9" s="6">
        <v>1.5664106264906299</v>
      </c>
      <c r="GN9" s="6">
        <v>0.96862491995308697</v>
      </c>
      <c r="GO9" s="6">
        <v>1.0089503502184001</v>
      </c>
      <c r="GP9" s="6">
        <v>1.0006036514249299</v>
      </c>
      <c r="GQ9" s="6">
        <v>1.37291378828691</v>
      </c>
      <c r="GR9" s="6">
        <v>-8.6057060459443093</v>
      </c>
      <c r="GS9" s="6">
        <v>1.24145432409334</v>
      </c>
      <c r="GT9" s="6">
        <v>1.2072691959891899</v>
      </c>
      <c r="GU9" s="6">
        <v>0.99284235132636001</v>
      </c>
      <c r="GV9" s="6">
        <v>1.42584489133847</v>
      </c>
      <c r="GW9" s="6">
        <v>1.1824945373107301</v>
      </c>
      <c r="GX9" s="6">
        <v>1.0489844975435001</v>
      </c>
      <c r="GY9" s="6">
        <v>1.106919297775</v>
      </c>
      <c r="GZ9" s="6">
        <v>1.0766668905688901</v>
      </c>
      <c r="HA9" s="6">
        <v>1.3417182795028799</v>
      </c>
      <c r="HB9" s="6">
        <v>1.7342177371693499</v>
      </c>
      <c r="HC9" s="6">
        <v>-55.063258639873197</v>
      </c>
      <c r="HD9" s="6">
        <v>1.0626341989175301</v>
      </c>
      <c r="HE9" s="6">
        <v>1.21543715639072</v>
      </c>
      <c r="HF9" s="6">
        <v>1.20548283854147</v>
      </c>
      <c r="HG9" s="6">
        <v>1.12407198460777</v>
      </c>
      <c r="HH9" s="6">
        <v>1.0995216231863101</v>
      </c>
      <c r="HI9" s="6">
        <v>1.76426173522093</v>
      </c>
      <c r="HJ9" s="6">
        <v>1.23742535973468</v>
      </c>
      <c r="HK9" s="6">
        <v>1.5202132552866201</v>
      </c>
      <c r="HL9" s="6">
        <v>1.21226541997203</v>
      </c>
      <c r="HM9" s="6">
        <v>1.2093425107589599</v>
      </c>
      <c r="HN9" s="6">
        <v>1.38998778163124</v>
      </c>
      <c r="HO9" s="6">
        <v>1.10362199463899</v>
      </c>
      <c r="HP9" s="6">
        <v>1.59474530958993</v>
      </c>
      <c r="HQ9" s="6">
        <v>1.01901307134903</v>
      </c>
      <c r="HR9" s="6">
        <v>1.0754136218119399</v>
      </c>
      <c r="HS9" s="6">
        <v>1.35288253752382</v>
      </c>
      <c r="HT9" s="6">
        <v>1.04601579199071</v>
      </c>
      <c r="HU9" s="6">
        <v>1.3102862777362501</v>
      </c>
      <c r="HV9" s="6">
        <v>1.2183053343315799</v>
      </c>
      <c r="HW9" s="6">
        <v>1.2048871511947701</v>
      </c>
      <c r="HX9" s="6">
        <v>1.39164271989205</v>
      </c>
      <c r="HY9" s="6">
        <v>1.49553547463305</v>
      </c>
      <c r="HZ9" s="6">
        <v>1.0850692163429401</v>
      </c>
      <c r="IA9" s="6">
        <v>1.23367327457489</v>
      </c>
      <c r="IB9" s="6">
        <v>1.38077901179564</v>
      </c>
      <c r="IC9" s="6">
        <v>1.0666275898450901</v>
      </c>
      <c r="ID9" s="6">
        <v>1.2636578056263299</v>
      </c>
      <c r="IE9" s="6">
        <v>1.2192823751433299</v>
      </c>
      <c r="IF9" s="6">
        <v>1.5282976247892199</v>
      </c>
      <c r="IG9" s="6">
        <v>0.92481183340066198</v>
      </c>
      <c r="IH9" s="6">
        <v>1.48907137169272</v>
      </c>
      <c r="II9" s="6">
        <v>1.3048823747284</v>
      </c>
      <c r="IJ9" s="6">
        <v>1.2747432582631</v>
      </c>
      <c r="IK9" s="6">
        <v>1.18459865663161</v>
      </c>
      <c r="IL9" s="6">
        <v>1.1219956847872801</v>
      </c>
      <c r="IM9" s="6">
        <v>1.45653366110711</v>
      </c>
      <c r="IN9" s="6">
        <v>1.0078471118333401</v>
      </c>
      <c r="IO9" s="6">
        <v>1.13094391221089</v>
      </c>
      <c r="IP9" s="6">
        <v>1.16130170522233</v>
      </c>
      <c r="IQ9" s="6">
        <v>1.2662523875076599</v>
      </c>
      <c r="IR9" s="6">
        <v>1.57735008059306</v>
      </c>
      <c r="IS9" s="6">
        <v>1.08040034488769</v>
      </c>
      <c r="IT9" s="6">
        <v>1.5935063259782001</v>
      </c>
      <c r="IU9" s="6">
        <v>1.25966753902677</v>
      </c>
      <c r="IV9" s="6">
        <v>1.16370959037735</v>
      </c>
      <c r="IW9" s="6">
        <v>2.31646075875994</v>
      </c>
      <c r="IX9" s="6">
        <v>1.4725716723840301</v>
      </c>
      <c r="IY9" s="6">
        <v>1.32033956898767</v>
      </c>
      <c r="IZ9" s="6">
        <v>1.18648298374626</v>
      </c>
      <c r="JA9" s="6">
        <v>1.2669043958624899</v>
      </c>
      <c r="JB9" s="6">
        <v>1.2797165750319199</v>
      </c>
      <c r="JC9" s="6">
        <v>1.1625236964813199</v>
      </c>
      <c r="JD9" s="6">
        <v>1.5078718712841199</v>
      </c>
      <c r="JE9" s="6">
        <v>1.3119602176146401</v>
      </c>
      <c r="JF9" s="6">
        <v>1.2805731406527201</v>
      </c>
      <c r="JG9" s="6">
        <v>1.2935993286721701</v>
      </c>
      <c r="JH9" s="6">
        <v>1.2419655279583699</v>
      </c>
      <c r="JI9" s="6">
        <v>0.93823018592506802</v>
      </c>
      <c r="JJ9" s="6">
        <v>1.3239941799086501</v>
      </c>
      <c r="JK9" s="6">
        <v>1.31777806705492</v>
      </c>
      <c r="JL9" s="6">
        <v>1.24678718840264</v>
      </c>
      <c r="JM9" s="6">
        <v>1.3222407279485699</v>
      </c>
      <c r="JN9" s="6">
        <v>1.4154398346500701</v>
      </c>
      <c r="JO9" s="6">
        <v>1.27636430166578</v>
      </c>
      <c r="JP9" s="6">
        <v>1.1416696055829401</v>
      </c>
      <c r="JQ9" s="6">
        <v>1.1189259511314</v>
      </c>
      <c r="JR9" s="6">
        <v>1.5545428834876001</v>
      </c>
      <c r="JS9" s="6">
        <v>1.20556640957259</v>
      </c>
      <c r="JT9" s="6">
        <v>1.07573910449613</v>
      </c>
      <c r="JU9" s="6">
        <v>1.28957623692764</v>
      </c>
      <c r="JV9" s="6">
        <v>1.7195982818256701</v>
      </c>
      <c r="JW9" s="6">
        <v>1.2159664468017399</v>
      </c>
      <c r="JX9" s="6">
        <v>1.42665453234437</v>
      </c>
      <c r="JY9" s="6">
        <v>1.0685307573027101</v>
      </c>
      <c r="JZ9" s="6">
        <v>0.94047330960564501</v>
      </c>
      <c r="KA9" s="6">
        <v>1.19284508412</v>
      </c>
      <c r="KB9" s="6">
        <v>1.88018460356402</v>
      </c>
      <c r="KC9" s="6">
        <v>0.93365736019824397</v>
      </c>
      <c r="KD9" s="6">
        <v>1.16316512184062</v>
      </c>
      <c r="KE9" s="6">
        <v>1.3866897558011</v>
      </c>
      <c r="KF9" s="6">
        <v>1.0325944449790401</v>
      </c>
      <c r="KG9" s="6">
        <v>1.2390944614216901</v>
      </c>
      <c r="KH9" s="6">
        <v>1.53297243690547</v>
      </c>
      <c r="KI9" s="6">
        <v>1.2529909965889501</v>
      </c>
      <c r="KJ9" s="6">
        <v>1.1530712312711699</v>
      </c>
      <c r="KK9" s="6">
        <v>0.95048945287730802</v>
      </c>
      <c r="KL9" s="6">
        <v>1.29195263365952</v>
      </c>
      <c r="KM9" s="6">
        <v>1.31230704896104</v>
      </c>
      <c r="KN9" s="6">
        <v>1.0581738949112101</v>
      </c>
      <c r="KO9" s="6">
        <v>1.46835262632551</v>
      </c>
      <c r="KP9" s="6">
        <v>1.1529303822766099</v>
      </c>
      <c r="KQ9" s="6">
        <v>1.2514634947630701</v>
      </c>
      <c r="KR9" s="6">
        <v>1.0429429039945699</v>
      </c>
      <c r="KS9" s="6">
        <v>1.2265320153366199</v>
      </c>
      <c r="KT9" s="6">
        <v>1.15543118509598</v>
      </c>
      <c r="KU9" s="6">
        <v>1.4632054523693101</v>
      </c>
      <c r="KV9" s="6">
        <v>1.29986035511154</v>
      </c>
      <c r="KW9" s="6">
        <v>1.0670648458640499</v>
      </c>
      <c r="KX9" s="6">
        <v>1.3869530601592801</v>
      </c>
      <c r="KY9" s="6">
        <v>0.85206944837271803</v>
      </c>
      <c r="KZ9" s="6">
        <v>1.43993752798029</v>
      </c>
      <c r="LA9" s="6">
        <v>0.835983821284913</v>
      </c>
      <c r="LB9" s="6">
        <v>1.4023275492650999</v>
      </c>
      <c r="LC9" s="6">
        <v>1.3987995348881199</v>
      </c>
      <c r="LD9" s="6">
        <v>1.47686440924927</v>
      </c>
      <c r="LE9" s="6">
        <v>1.0166544130205599</v>
      </c>
      <c r="LF9" s="6">
        <v>1.3029357528958301</v>
      </c>
      <c r="LG9" s="6">
        <v>1.14195004852749</v>
      </c>
      <c r="LH9" s="6">
        <v>1.1254116411028301</v>
      </c>
      <c r="LI9" s="6">
        <v>1.14117024265321</v>
      </c>
      <c r="LJ9" s="6">
        <v>0.96261365181208103</v>
      </c>
      <c r="LK9" s="6">
        <v>1.1167890804265099</v>
      </c>
      <c r="LL9" s="6">
        <v>1.3670004678010399</v>
      </c>
      <c r="LM9" s="6">
        <v>1.4900341785412801</v>
      </c>
      <c r="LN9" s="6">
        <v>1.4386057971644099</v>
      </c>
      <c r="LO9" s="6">
        <v>1.1934999794027299</v>
      </c>
      <c r="LP9" s="6">
        <v>1.38524990507192</v>
      </c>
      <c r="LQ9" s="6">
        <v>1.1808614327231799</v>
      </c>
      <c r="LR9" s="6">
        <v>1.7551461580543699</v>
      </c>
      <c r="LS9" s="6">
        <v>1.1658400026837801</v>
      </c>
      <c r="LT9" s="6">
        <v>1.75491511959899</v>
      </c>
      <c r="LU9" s="6">
        <v>1.4029715814559101</v>
      </c>
      <c r="LV9" s="6">
        <v>1.04438667793416</v>
      </c>
      <c r="LW9" s="6">
        <v>1.1186485666459001</v>
      </c>
      <c r="LX9" s="6">
        <v>1.1175848535410999</v>
      </c>
      <c r="LY9" s="6">
        <v>0.91649169219548998</v>
      </c>
      <c r="LZ9" s="6">
        <v>1.12392567013168</v>
      </c>
      <c r="MA9" s="6">
        <v>1.4618446388103099</v>
      </c>
      <c r="MB9" s="6">
        <v>1.2452405326336899</v>
      </c>
      <c r="MC9" s="6">
        <v>0.82758252057797699</v>
      </c>
      <c r="MD9" s="6">
        <v>1.2553923792749799</v>
      </c>
      <c r="ME9" s="6">
        <v>0.97178060132760002</v>
      </c>
      <c r="MF9" s="6">
        <v>1.14202144543824</v>
      </c>
      <c r="MG9" s="6">
        <v>1.3158218983207699</v>
      </c>
      <c r="MH9" s="6">
        <v>1.0344624805926601</v>
      </c>
      <c r="MI9" s="6">
        <v>1.35963225257387</v>
      </c>
      <c r="MJ9" s="6">
        <v>1.0712135627528101</v>
      </c>
      <c r="MK9" s="6">
        <v>1.00483813609591</v>
      </c>
      <c r="ML9" s="6">
        <v>1.4012149904118001</v>
      </c>
      <c r="MM9" s="6">
        <v>1.2913929463439799</v>
      </c>
      <c r="MN9" s="6">
        <v>1.1115056664340699</v>
      </c>
      <c r="MO9" s="6">
        <v>1.20670861684088</v>
      </c>
      <c r="MP9" s="6">
        <v>0.963449525201866</v>
      </c>
      <c r="MQ9" s="6">
        <v>1.30888909231781</v>
      </c>
      <c r="MR9" s="6">
        <v>1.17077274467614</v>
      </c>
      <c r="MS9" s="6">
        <v>1.2554658173533899</v>
      </c>
      <c r="MT9" s="6">
        <v>1.1108818546646599</v>
      </c>
      <c r="MU9" s="6">
        <v>1.18040309168989</v>
      </c>
      <c r="MV9" s="6">
        <v>1.1652385736858599</v>
      </c>
      <c r="MW9" s="6">
        <v>1.1238509303025199</v>
      </c>
      <c r="MX9" s="6">
        <v>1.47065625767942</v>
      </c>
      <c r="MY9" s="6">
        <v>1.2689721226349</v>
      </c>
      <c r="MZ9" s="6">
        <v>1.1341020697920099</v>
      </c>
      <c r="NA9" s="6">
        <v>0.90240610432882595</v>
      </c>
      <c r="NB9" s="6">
        <v>1.07923465315208</v>
      </c>
      <c r="NC9" s="6">
        <v>1.02798103692606</v>
      </c>
      <c r="ND9" s="6">
        <v>1.0498652902029899</v>
      </c>
      <c r="NE9" s="6">
        <v>1.1130603861194499</v>
      </c>
      <c r="NF9" s="6">
        <v>1.05540356848477</v>
      </c>
      <c r="NG9" s="6">
        <v>1.1686711717421201</v>
      </c>
      <c r="NH9" s="6">
        <v>1.15818450453929</v>
      </c>
      <c r="NI9" s="6">
        <v>0.95510420923653905</v>
      </c>
      <c r="NJ9" s="6">
        <v>1.53072809111784</v>
      </c>
      <c r="NK9" s="6">
        <v>1.1524486257025299</v>
      </c>
      <c r="NL9" s="6">
        <v>1.2479208073546699</v>
      </c>
      <c r="NM9" s="6">
        <v>1.7118856614123199</v>
      </c>
      <c r="NN9" s="6">
        <v>1.27661635369775</v>
      </c>
      <c r="NO9" s="6">
        <v>0.98617091075484697</v>
      </c>
      <c r="NP9" s="6">
        <v>1.4188470891359399</v>
      </c>
      <c r="NQ9" s="6">
        <v>1.5642792259046701</v>
      </c>
      <c r="NR9" s="6">
        <v>1.3008115735138099</v>
      </c>
      <c r="NS9" s="6">
        <v>1.0173598664764301</v>
      </c>
      <c r="NT9" s="6">
        <v>1.26110738131587</v>
      </c>
      <c r="NU9" s="6">
        <v>1.1466096638069601</v>
      </c>
      <c r="NV9" s="6">
        <v>1.3736602379738401</v>
      </c>
      <c r="NW9" s="6">
        <v>1.2353153345411201</v>
      </c>
      <c r="NX9" s="6">
        <v>1.4201297099644601</v>
      </c>
      <c r="NY9" s="6">
        <v>1.1881431431299201</v>
      </c>
      <c r="NZ9" s="6">
        <v>1.3218710803179901</v>
      </c>
      <c r="OA9" s="6">
        <v>1.22230298273558</v>
      </c>
      <c r="OB9" s="6">
        <v>1.38395660706109</v>
      </c>
      <c r="OC9" s="6">
        <v>1.1612474932576999</v>
      </c>
      <c r="OD9" s="6">
        <v>1.05579684251636</v>
      </c>
      <c r="OE9" s="6">
        <v>1.12372125124461</v>
      </c>
      <c r="OF9" s="6">
        <v>1.32117083867985</v>
      </c>
      <c r="OG9" s="6">
        <v>1.1843373480086099</v>
      </c>
      <c r="OH9" s="6">
        <v>1.3341264964044699</v>
      </c>
      <c r="OI9" s="6">
        <v>1.13523933381112</v>
      </c>
      <c r="OJ9" s="6">
        <v>1.2085720140215099</v>
      </c>
      <c r="OK9" s="6">
        <v>1.1939288475412799</v>
      </c>
      <c r="OL9" s="6">
        <v>1.41562587295386</v>
      </c>
      <c r="OM9" s="6">
        <v>1.17483655991994</v>
      </c>
      <c r="ON9" s="6">
        <v>1.03920843885481</v>
      </c>
      <c r="OO9" s="6">
        <v>1.34063053887072</v>
      </c>
      <c r="OP9" s="6">
        <v>1.07487879128494</v>
      </c>
      <c r="OQ9" s="6">
        <v>1.2846990656771</v>
      </c>
      <c r="OR9" s="6">
        <v>1.8489499192177199</v>
      </c>
      <c r="OS9" s="6">
        <v>1.62103324661856</v>
      </c>
      <c r="OT9" s="6">
        <v>1.15463763751167</v>
      </c>
      <c r="OU9" s="6">
        <v>1.17139440080465</v>
      </c>
      <c r="OV9" s="6">
        <v>1.3623846605935901</v>
      </c>
      <c r="OW9" s="6">
        <v>0.97531388982590705</v>
      </c>
      <c r="OX9" s="6">
        <v>1.4292345913826601</v>
      </c>
      <c r="OY9" s="6">
        <v>1.5986710804491999</v>
      </c>
      <c r="OZ9" s="6">
        <v>1.42748717406874</v>
      </c>
      <c r="PA9" s="6">
        <v>1.37215481148323</v>
      </c>
      <c r="PB9" s="6">
        <v>1.1094275147872601</v>
      </c>
      <c r="PC9" s="6">
        <v>1.530305868048</v>
      </c>
      <c r="PD9" s="6">
        <v>1.38594399587296</v>
      </c>
      <c r="PE9" s="6">
        <v>1.2563711885522599</v>
      </c>
      <c r="PF9" s="6">
        <v>1.9195687140737001</v>
      </c>
      <c r="PG9" s="6">
        <v>1.1077897199642399</v>
      </c>
      <c r="PH9" s="6">
        <v>1.20833556900465</v>
      </c>
      <c r="PI9" s="6">
        <v>1.2335070688820999</v>
      </c>
      <c r="PJ9" s="6">
        <v>1.1945094357516099</v>
      </c>
      <c r="PK9" s="6">
        <v>1.1086452867805501</v>
      </c>
      <c r="PL9" s="6">
        <v>1.1939957634913101</v>
      </c>
      <c r="PM9" s="6">
        <v>1.3152252404037801</v>
      </c>
      <c r="PN9" s="6">
        <v>1.2923999836615001</v>
      </c>
      <c r="PO9" s="6">
        <v>1.4195834675211201</v>
      </c>
      <c r="PP9" s="6">
        <v>1.4516915076972601</v>
      </c>
      <c r="PQ9" s="6">
        <v>1.38523175112644</v>
      </c>
      <c r="PR9" s="6">
        <v>1.36614913395589</v>
      </c>
      <c r="PS9" s="6">
        <v>1.3616797462010799</v>
      </c>
      <c r="PT9" s="6">
        <v>1.3932592115789499</v>
      </c>
      <c r="PU9" s="6">
        <v>1.0300582082376399</v>
      </c>
      <c r="PV9" s="6">
        <v>1.1631844093535599</v>
      </c>
      <c r="PW9" s="6">
        <v>1.11106535882349</v>
      </c>
      <c r="PX9" s="6">
        <v>1.3314675507919</v>
      </c>
      <c r="PY9" s="6">
        <v>1.53839218042032</v>
      </c>
      <c r="PZ9" s="6">
        <v>1.06432263305354</v>
      </c>
      <c r="QA9" s="6">
        <v>1.28040478071455</v>
      </c>
      <c r="QB9" s="6">
        <v>1.43859221454598</v>
      </c>
      <c r="QC9" s="6">
        <v>1.01639944632769</v>
      </c>
      <c r="QD9" s="6">
        <v>0.99082429641837599</v>
      </c>
      <c r="QE9" s="6">
        <v>1.04693175168615</v>
      </c>
      <c r="QF9" s="6">
        <v>1.29174249850845</v>
      </c>
      <c r="QG9" s="6">
        <v>1.0228927509986301</v>
      </c>
      <c r="QH9" s="6">
        <v>1.27293310565357</v>
      </c>
      <c r="QI9" s="6">
        <v>1.3412078046314699</v>
      </c>
      <c r="QJ9" s="6">
        <v>1.2032248058158399</v>
      </c>
      <c r="QK9" s="6">
        <v>1.2112568278726901</v>
      </c>
      <c r="QL9" s="6">
        <v>1.0930593178705199</v>
      </c>
      <c r="QM9" s="6">
        <v>1.24326556752582</v>
      </c>
      <c r="QN9" s="6">
        <v>1.3526588305928799</v>
      </c>
      <c r="QO9" s="6">
        <v>1.4422990105649101</v>
      </c>
      <c r="QP9" s="6">
        <v>1.2733816367702799</v>
      </c>
      <c r="QQ9" s="6">
        <v>1.2738295720396799</v>
      </c>
      <c r="QR9" s="6">
        <v>1.27479289557711</v>
      </c>
      <c r="QS9" s="6">
        <v>1.33602070328506</v>
      </c>
      <c r="QT9" s="6">
        <v>1.24963577318954</v>
      </c>
      <c r="QU9" s="6">
        <v>1.10606930271656</v>
      </c>
      <c r="QV9" s="6">
        <v>1.45024078562378</v>
      </c>
      <c r="QW9" s="6">
        <v>1.2743290915560901</v>
      </c>
      <c r="QX9" s="6">
        <v>0.87409920912894701</v>
      </c>
      <c r="QY9" s="6">
        <v>1.1552342718417801</v>
      </c>
      <c r="QZ9" s="6">
        <v>1.0748380714461001</v>
      </c>
      <c r="RA9" s="6">
        <v>1.10554101473521</v>
      </c>
      <c r="RB9" s="6">
        <v>1.48494571832379</v>
      </c>
      <c r="RC9" s="6">
        <v>1.1096425545617099</v>
      </c>
      <c r="RD9" s="6">
        <v>1.4463279003546601</v>
      </c>
      <c r="RE9" s="6">
        <v>1.07115140836494</v>
      </c>
      <c r="RF9" s="6">
        <v>1.2125534393036099</v>
      </c>
      <c r="RG9" s="6">
        <v>1.3583578534923999</v>
      </c>
      <c r="RH9" s="6">
        <v>1.4157225813702199</v>
      </c>
      <c r="RI9" s="6">
        <v>1.0834832533601499</v>
      </c>
      <c r="RJ9" s="6">
        <v>1.42218177375921</v>
      </c>
      <c r="RK9" s="6">
        <v>1.1494642089150899</v>
      </c>
      <c r="RL9" s="6">
        <v>1.0526980249620901</v>
      </c>
      <c r="RM9" s="6">
        <v>1.24219513662932</v>
      </c>
      <c r="RN9" s="6">
        <v>1.28950089535914</v>
      </c>
      <c r="RO9" s="6">
        <v>1.0176710980255701</v>
      </c>
      <c r="RP9" s="6">
        <v>1.1528634736510199</v>
      </c>
      <c r="RQ9" s="6">
        <v>1.0196319624232999</v>
      </c>
      <c r="RR9" s="6">
        <v>1.33910571972337</v>
      </c>
      <c r="RS9" s="6">
        <v>1.1018095778438599</v>
      </c>
      <c r="RT9" s="6">
        <v>1.28409560772316</v>
      </c>
      <c r="RU9" s="6">
        <v>1.3403335034731501</v>
      </c>
      <c r="RV9" s="6">
        <v>1.34810523853933</v>
      </c>
      <c r="RW9" s="6">
        <v>1.2454638517348799</v>
      </c>
      <c r="RX9" s="6">
        <v>1.0467244627385901</v>
      </c>
      <c r="RY9" s="6">
        <v>1.0844436117764</v>
      </c>
      <c r="RZ9" s="6">
        <v>1.3190767319526999</v>
      </c>
      <c r="SA9" s="6">
        <v>1.17743459839235</v>
      </c>
      <c r="SB9" s="6">
        <v>1.29462375649865</v>
      </c>
      <c r="SC9" s="6">
        <v>1.5063133422963</v>
      </c>
      <c r="SD9" s="6">
        <v>1.3031590475425601</v>
      </c>
      <c r="SE9" s="6">
        <v>1.02111977433278</v>
      </c>
      <c r="SF9" s="6">
        <v>1.19852895970193</v>
      </c>
      <c r="SG9" s="6">
        <v>1.54122309911333</v>
      </c>
      <c r="SH9" s="6">
        <v>1.0928405253495901</v>
      </c>
      <c r="SI9" s="6">
        <v>1.01902483638006</v>
      </c>
      <c r="SJ9" s="6">
        <v>1.2547682083317799</v>
      </c>
      <c r="SK9" s="6">
        <v>1.32687866316367</v>
      </c>
      <c r="SL9" s="6">
        <v>1.2765066295546199</v>
      </c>
      <c r="SM9" s="6">
        <v>0.90048854670073197</v>
      </c>
      <c r="SN9" s="6">
        <v>1.41354460278123</v>
      </c>
      <c r="SO9" s="6">
        <v>1.1567512562878</v>
      </c>
      <c r="SP9" s="6">
        <v>1.15497489416838</v>
      </c>
      <c r="SQ9" s="6">
        <v>1.5805677445912101</v>
      </c>
      <c r="SR9" s="6">
        <v>1.6288635006885299</v>
      </c>
      <c r="SS9" s="6">
        <v>0.877838687824679</v>
      </c>
      <c r="ST9" s="6">
        <v>0.98149164606656403</v>
      </c>
      <c r="SU9" s="6">
        <v>1.3354431910988001</v>
      </c>
      <c r="SV9" s="6">
        <v>1.38129086210524</v>
      </c>
      <c r="SW9" s="6">
        <v>1.1452860296132401</v>
      </c>
      <c r="SX9" s="6">
        <v>1.4207253944995799</v>
      </c>
      <c r="SY9" s="6">
        <v>0.98966684355364898</v>
      </c>
      <c r="SZ9" s="6">
        <v>1.56905000506054</v>
      </c>
      <c r="TA9" s="6">
        <v>0.95382498824942297</v>
      </c>
      <c r="TB9" s="6">
        <v>1.23909450464798</v>
      </c>
      <c r="TC9" s="6">
        <v>0.98461366480825196</v>
      </c>
      <c r="TD9" s="6">
        <v>1.2633295619452101</v>
      </c>
      <c r="TE9" s="6">
        <v>1.4161397578469399</v>
      </c>
      <c r="TF9" s="6">
        <v>1.22793249327913</v>
      </c>
      <c r="TG9" s="6">
        <v>1.6191187832423699</v>
      </c>
      <c r="TH9" s="6">
        <v>1.5132412673034701</v>
      </c>
      <c r="TI9" s="6">
        <v>1.4694764669670799</v>
      </c>
      <c r="TJ9" s="6">
        <v>0.96511642394316299</v>
      </c>
      <c r="TK9" s="6">
        <v>1.26789598453551</v>
      </c>
      <c r="TL9" s="6">
        <v>1.85142766547879</v>
      </c>
      <c r="TM9" s="6">
        <v>1.6335594093504</v>
      </c>
      <c r="TN9" s="6">
        <v>1.03559250146332</v>
      </c>
      <c r="TO9" s="6">
        <v>1.2291259026286001</v>
      </c>
      <c r="TP9" s="6">
        <v>1.3777181287429501</v>
      </c>
      <c r="TQ9" s="6">
        <v>1.4514529600892101</v>
      </c>
    </row>
    <row r="10" spans="1:537" x14ac:dyDescent="0.3">
      <c r="A10" s="28"/>
      <c r="B10" s="28"/>
      <c r="C10" s="28"/>
      <c r="D10" s="28"/>
      <c r="E10" s="14"/>
      <c r="F10" s="14"/>
      <c r="H10" s="19" t="s">
        <v>78</v>
      </c>
      <c r="I10" s="19" t="s">
        <v>10</v>
      </c>
      <c r="J10" s="26">
        <f t="shared" si="5"/>
        <v>3.8024716924681547E-2</v>
      </c>
      <c r="K10" s="20">
        <v>1.0984942268</v>
      </c>
      <c r="L10" s="5"/>
      <c r="M10" s="19" t="s">
        <v>78</v>
      </c>
      <c r="N10" s="19" t="s">
        <v>10</v>
      </c>
      <c r="O10" s="26">
        <f t="shared" si="6"/>
        <v>3.8344107956751146E-2</v>
      </c>
      <c r="P10" s="20">
        <f t="shared" si="7"/>
        <v>0.97237478963420743</v>
      </c>
      <c r="Q10" s="5"/>
      <c r="R10" s="19" t="s">
        <v>78</v>
      </c>
      <c r="S10" s="19" t="s">
        <v>10</v>
      </c>
      <c r="T10" s="26">
        <f t="shared" si="8"/>
        <v>3.7258704821466711E-2</v>
      </c>
      <c r="U10" s="20">
        <f t="shared" si="9"/>
        <v>1.2651523175371444</v>
      </c>
      <c r="AF10" s="1" t="s">
        <v>85</v>
      </c>
      <c r="AG10" s="15">
        <f t="shared" si="0"/>
        <v>0.21977256711283483</v>
      </c>
      <c r="AH10" s="16">
        <f t="shared" si="1"/>
        <v>0.27513969416788236</v>
      </c>
      <c r="AI10" s="1">
        <f t="shared" si="2"/>
        <v>1.4957126949761417</v>
      </c>
      <c r="AJ10" s="6">
        <f t="shared" si="3"/>
        <v>1.1669960763379785</v>
      </c>
      <c r="AK10" s="17">
        <f t="shared" si="4"/>
        <v>1.9072426284348964</v>
      </c>
      <c r="AL10" s="1">
        <v>1.42617668596506</v>
      </c>
      <c r="AM10" s="1">
        <v>1.34116841173395</v>
      </c>
      <c r="AN10" s="1">
        <v>2.1250378231966902</v>
      </c>
      <c r="AO10" s="6">
        <v>1.1950353254753801</v>
      </c>
      <c r="AP10" s="6">
        <v>1.3165498919582199</v>
      </c>
      <c r="AQ10" s="6">
        <v>1.4378345784806601</v>
      </c>
      <c r="AR10" s="6">
        <v>1.63801739637133</v>
      </c>
      <c r="AS10" s="6">
        <v>1.6024957426940101</v>
      </c>
      <c r="AT10" s="6">
        <v>1.81167888649937</v>
      </c>
      <c r="AU10" s="6">
        <v>1.82694951460954</v>
      </c>
      <c r="AV10" s="6">
        <v>1.25446276520783</v>
      </c>
      <c r="AW10" s="6">
        <v>1.8783350210138801</v>
      </c>
      <c r="AX10" s="6">
        <v>1.51138324683523</v>
      </c>
      <c r="AY10" s="6">
        <v>1.30593159048215</v>
      </c>
      <c r="AZ10" s="6">
        <v>1.4374441014405499</v>
      </c>
      <c r="BA10" s="6">
        <v>1.33438360094818</v>
      </c>
      <c r="BB10" s="6">
        <v>1.35322824674761</v>
      </c>
      <c r="BC10" s="6">
        <v>1.6169042768055699</v>
      </c>
      <c r="BD10" s="6">
        <v>1.2866213090298799</v>
      </c>
      <c r="BE10" s="6">
        <v>1.5243251233777499</v>
      </c>
      <c r="BF10" s="6">
        <v>2.1254996683872398</v>
      </c>
      <c r="BG10" s="6">
        <v>1.5483235314281001</v>
      </c>
      <c r="BH10" s="6">
        <v>1.38400187697582</v>
      </c>
      <c r="BI10" s="6">
        <v>1.3020763263249</v>
      </c>
      <c r="BJ10" s="6">
        <v>1.23187406142455</v>
      </c>
      <c r="BK10" s="6">
        <v>1.6147340712541101</v>
      </c>
      <c r="BL10" s="6">
        <v>1.1801810281366401</v>
      </c>
      <c r="BM10" s="6">
        <v>1.23063343090971</v>
      </c>
      <c r="BN10" s="6">
        <v>1.4047788106996499</v>
      </c>
      <c r="BO10" s="6">
        <v>1.5020964419306899</v>
      </c>
      <c r="BP10" s="6">
        <v>1.38349383906224</v>
      </c>
      <c r="BQ10" s="6">
        <v>1.0563463678160301</v>
      </c>
      <c r="BR10" s="6">
        <v>1.80361900627939</v>
      </c>
      <c r="BS10" s="6">
        <v>1.8107839065695901</v>
      </c>
      <c r="BT10" s="6">
        <v>1.24523896630319</v>
      </c>
      <c r="BU10" s="6">
        <v>1.3518927682613799</v>
      </c>
      <c r="BV10" s="6">
        <v>1.8061305509850401</v>
      </c>
      <c r="BW10" s="6">
        <v>1.61765783910753</v>
      </c>
      <c r="BX10" s="6">
        <v>1.6464731579557501</v>
      </c>
      <c r="BY10" s="6">
        <v>1.41868640013408</v>
      </c>
      <c r="BZ10" s="6">
        <v>1.69899531261907</v>
      </c>
      <c r="CA10" s="6">
        <v>1.45474945970823</v>
      </c>
      <c r="CB10" s="6">
        <v>1.60156778483455</v>
      </c>
      <c r="CC10" s="6">
        <v>1.7390226122302801</v>
      </c>
      <c r="CD10" s="6">
        <v>1.58563201058682</v>
      </c>
      <c r="CE10" s="6">
        <v>1.22416328093781</v>
      </c>
      <c r="CF10" s="6">
        <v>1.5771339065962</v>
      </c>
      <c r="CG10" s="6">
        <v>1.9243439940599001</v>
      </c>
      <c r="CH10" s="6">
        <v>1.14570861393487</v>
      </c>
      <c r="CI10" s="6">
        <v>1.4746041990738801</v>
      </c>
      <c r="CJ10" s="6">
        <v>1.6257714174631599</v>
      </c>
      <c r="CK10" s="6">
        <v>1.6974398424122099</v>
      </c>
      <c r="CL10" s="6">
        <v>1.15728267245565</v>
      </c>
      <c r="CM10" s="6">
        <v>1.6029167215425399</v>
      </c>
      <c r="CN10" s="6">
        <v>1.42599458125436</v>
      </c>
      <c r="CO10" s="6">
        <v>1.65395674411973</v>
      </c>
      <c r="CP10" s="6">
        <v>1.9862338040177001</v>
      </c>
      <c r="CQ10" s="6">
        <v>1.38180401363562</v>
      </c>
      <c r="CR10" s="6">
        <v>1.68257054032438</v>
      </c>
      <c r="CS10" s="6">
        <v>1.4764288522846301</v>
      </c>
      <c r="CT10" s="6">
        <v>1.3727804343063299</v>
      </c>
      <c r="CU10" s="6">
        <v>1.7572436456320999</v>
      </c>
      <c r="CV10" s="6">
        <v>1.21598045956209</v>
      </c>
      <c r="CW10" s="6">
        <v>1.69871068019116</v>
      </c>
      <c r="CX10" s="6">
        <v>1.8112855439223901</v>
      </c>
      <c r="CY10" s="6">
        <v>1.2648440902195901</v>
      </c>
      <c r="CZ10" s="6">
        <v>1.5499202365959099</v>
      </c>
      <c r="DA10" s="6">
        <v>1.3587030161303499</v>
      </c>
      <c r="DB10" s="6">
        <v>1.37988465517375</v>
      </c>
      <c r="DC10" s="6">
        <v>1.40659137224009</v>
      </c>
      <c r="DD10" s="6">
        <v>1.5762098237731901</v>
      </c>
      <c r="DE10" s="6">
        <v>1.72421898852547</v>
      </c>
      <c r="DF10" s="6">
        <v>1.61127512241018</v>
      </c>
      <c r="DG10" s="6">
        <v>1.5834028990220601</v>
      </c>
      <c r="DH10" s="6">
        <v>1.67751630638086</v>
      </c>
      <c r="DI10" s="6">
        <v>1.7851652960698099</v>
      </c>
      <c r="DJ10" s="6">
        <v>1.75831807949861</v>
      </c>
      <c r="DK10" s="6">
        <v>1.34016606053535</v>
      </c>
      <c r="DL10" s="6">
        <v>1.47625910158216</v>
      </c>
      <c r="DM10" s="6">
        <v>1.23929762868355</v>
      </c>
      <c r="DN10" s="6">
        <v>1.3772256627933399</v>
      </c>
      <c r="DO10" s="6">
        <v>1.8620046287404299</v>
      </c>
      <c r="DP10" s="6">
        <v>2.16147283142831</v>
      </c>
      <c r="DQ10" s="6">
        <v>1.4241558018673</v>
      </c>
      <c r="DR10" s="6">
        <v>1.43419471896635</v>
      </c>
      <c r="DS10" s="6">
        <v>1.4807707317446901</v>
      </c>
      <c r="DT10" s="6">
        <v>1.2752452563155301</v>
      </c>
      <c r="DU10" s="6">
        <v>1.2177941178390399</v>
      </c>
      <c r="DV10" s="6">
        <v>1.1246069681300701</v>
      </c>
      <c r="DW10" s="6">
        <v>1.6492648665715099</v>
      </c>
      <c r="DX10" s="6">
        <v>1.73487569895973</v>
      </c>
      <c r="DY10" s="6">
        <v>1.43545320998096</v>
      </c>
      <c r="DZ10" s="6">
        <v>1.2854480256480501</v>
      </c>
      <c r="EA10" s="6">
        <v>1.3140477639396499</v>
      </c>
      <c r="EB10" s="6">
        <v>1.6063047285232599</v>
      </c>
      <c r="EC10" s="6">
        <v>1.3628291235205301</v>
      </c>
      <c r="ED10" s="6">
        <v>1.3390621784305901</v>
      </c>
      <c r="EE10" s="6">
        <v>1.58585883955186</v>
      </c>
      <c r="EF10" s="6">
        <v>1.28953838142706</v>
      </c>
      <c r="EG10" s="6">
        <v>2.0242898011699499</v>
      </c>
      <c r="EH10" s="6">
        <v>1.5155649584888999</v>
      </c>
      <c r="EI10" s="6">
        <v>1.39282744614905</v>
      </c>
      <c r="EJ10" s="6">
        <v>1.6812122186563201</v>
      </c>
      <c r="EK10" s="6">
        <v>1.7579585782765501</v>
      </c>
      <c r="EL10" s="6">
        <v>1.49302071986204</v>
      </c>
      <c r="EM10" s="6">
        <v>1.7027403568485799</v>
      </c>
      <c r="EN10" s="6">
        <v>1.1864555746372301</v>
      </c>
      <c r="EO10" s="6">
        <v>1.29158394797638</v>
      </c>
      <c r="EP10" s="6">
        <v>1.37840446239421</v>
      </c>
      <c r="EQ10" s="6">
        <v>1.8770783156486901</v>
      </c>
      <c r="ER10" s="6">
        <v>1.89615923526283</v>
      </c>
      <c r="ES10" s="6">
        <v>1.5044457326088101</v>
      </c>
      <c r="ET10" s="6">
        <v>1.3129639791133301</v>
      </c>
      <c r="EU10" s="6">
        <v>1.5328281821740699</v>
      </c>
      <c r="EV10" s="6">
        <v>1.50055052963825</v>
      </c>
      <c r="EW10" s="6">
        <v>1.5042398163146</v>
      </c>
      <c r="EX10" s="6">
        <v>1.1206477081491599</v>
      </c>
      <c r="EY10" s="6">
        <v>1.47547245964157</v>
      </c>
      <c r="EZ10" s="6">
        <v>2.2404242777199199</v>
      </c>
      <c r="FA10" s="6">
        <v>1.8397800912347599</v>
      </c>
      <c r="FB10" s="6">
        <v>1.6627997663698999</v>
      </c>
      <c r="FC10" s="6">
        <v>1.45873444942259</v>
      </c>
      <c r="FD10" s="6">
        <v>1.15736433492478</v>
      </c>
      <c r="FE10" s="6">
        <v>1.19504371579786</v>
      </c>
      <c r="FF10" s="6">
        <v>1.35261785823995</v>
      </c>
      <c r="FG10" s="6">
        <v>1.16168244164635</v>
      </c>
      <c r="FH10" s="6">
        <v>1.53264767063533</v>
      </c>
      <c r="FI10" s="6">
        <v>1.4378452964915001</v>
      </c>
      <c r="FJ10" s="6">
        <v>1.8303259729639301</v>
      </c>
      <c r="FK10" s="6">
        <v>1.30711342364191</v>
      </c>
      <c r="FL10" s="6">
        <v>1.30495661699115</v>
      </c>
      <c r="FM10" s="6">
        <v>1.3161810003562</v>
      </c>
      <c r="FN10" s="6">
        <v>1.3420754406842701</v>
      </c>
      <c r="FO10" s="6">
        <v>1.3867222976876801</v>
      </c>
      <c r="FP10" s="6">
        <v>1.4791795512064501</v>
      </c>
      <c r="FQ10" s="6">
        <v>1.88521098067096</v>
      </c>
      <c r="FR10" s="6">
        <v>1.7621686699533201</v>
      </c>
      <c r="FS10" s="6">
        <v>1.5046243940278199</v>
      </c>
      <c r="FT10" s="6">
        <v>1.76175147617162</v>
      </c>
      <c r="FU10" s="6">
        <v>1.4193977876550301</v>
      </c>
      <c r="FV10" s="6">
        <v>1.4533575399329799</v>
      </c>
      <c r="FW10" s="6">
        <v>1.25214562903736</v>
      </c>
      <c r="FX10" s="6">
        <v>1.2665115159018701</v>
      </c>
      <c r="FY10" s="6">
        <v>1.12347985436741</v>
      </c>
      <c r="FZ10" s="6">
        <v>1.52837021380544</v>
      </c>
      <c r="GA10" s="6">
        <v>1.73900766037445</v>
      </c>
      <c r="GB10" s="6">
        <v>1.37438812037851</v>
      </c>
      <c r="GC10" s="6">
        <v>1.4446249318269899</v>
      </c>
      <c r="GD10" s="6">
        <v>1.3800595060835701</v>
      </c>
      <c r="GE10" s="6">
        <v>1.12337699414725</v>
      </c>
      <c r="GF10" s="6">
        <v>1.3146668869825899</v>
      </c>
      <c r="GG10" s="6">
        <v>1.51464546463308</v>
      </c>
      <c r="GH10" s="6">
        <v>1.7211587569559199</v>
      </c>
      <c r="GI10" s="6">
        <v>1.5215142657713601</v>
      </c>
      <c r="GJ10" s="6">
        <v>1.4154515612910199</v>
      </c>
      <c r="GK10" s="6">
        <v>1.3495589024509</v>
      </c>
      <c r="GL10" s="6">
        <v>1.67080670577556</v>
      </c>
      <c r="GM10" s="6">
        <v>1.49975546303898</v>
      </c>
      <c r="GN10" s="6">
        <v>1.92610687798875</v>
      </c>
      <c r="GO10" s="6">
        <v>1.45517111531891</v>
      </c>
      <c r="GP10" s="6">
        <v>1.1161917444229701</v>
      </c>
      <c r="GQ10" s="6">
        <v>1.26083880012296</v>
      </c>
      <c r="GR10" s="6">
        <v>1.4484338181365199</v>
      </c>
      <c r="GS10" s="6">
        <v>1.34491839002374</v>
      </c>
      <c r="GT10" s="6">
        <v>1.54781991448996</v>
      </c>
      <c r="GU10" s="6">
        <v>1.41357310219167</v>
      </c>
      <c r="GV10" s="6">
        <v>1.78665422366563</v>
      </c>
      <c r="GW10" s="6">
        <v>1.3389928534083499</v>
      </c>
      <c r="GX10" s="6">
        <v>1.3241498405101999</v>
      </c>
      <c r="GY10" s="6">
        <v>1.5590747439371599</v>
      </c>
      <c r="GZ10" s="6">
        <v>1.18947759888052</v>
      </c>
      <c r="HA10" s="6">
        <v>1.98671898139044</v>
      </c>
      <c r="HB10" s="6">
        <v>1.65214058093834</v>
      </c>
      <c r="HC10" s="6">
        <v>1.5559307763877801</v>
      </c>
      <c r="HD10" s="6">
        <v>1.2793619812785799</v>
      </c>
      <c r="HE10" s="6">
        <v>1.82206257749682</v>
      </c>
      <c r="HF10" s="6">
        <v>1.2744968769892</v>
      </c>
      <c r="HG10" s="6">
        <v>1.2892457631309799</v>
      </c>
      <c r="HH10" s="6">
        <v>1.3828849394162099</v>
      </c>
      <c r="HI10" s="6">
        <v>1.6720378811576599</v>
      </c>
      <c r="HJ10" s="6">
        <v>1.4437973901641501</v>
      </c>
      <c r="HK10" s="6">
        <v>1.48169530682757</v>
      </c>
      <c r="HL10" s="6">
        <v>1.4588158968957501</v>
      </c>
      <c r="HM10" s="6">
        <v>1.62380229934513</v>
      </c>
      <c r="HN10" s="6">
        <v>1.45283997717897</v>
      </c>
      <c r="HO10" s="6">
        <v>1.4641786390209399</v>
      </c>
      <c r="HP10" s="6">
        <v>1.3499775413006101</v>
      </c>
      <c r="HQ10" s="6">
        <v>1.5255077282963401</v>
      </c>
      <c r="HR10" s="6">
        <v>1.35288001356536</v>
      </c>
      <c r="HS10" s="6">
        <v>1.5053140721548901</v>
      </c>
      <c r="HT10" s="6">
        <v>1.6200393811254299</v>
      </c>
      <c r="HU10" s="6">
        <v>1.51773796698719</v>
      </c>
      <c r="HV10" s="6">
        <v>2.0656989513629802</v>
      </c>
      <c r="HW10" s="6">
        <v>1.2573368013050501</v>
      </c>
      <c r="HX10" s="6">
        <v>1.60760726254527</v>
      </c>
      <c r="HY10" s="6">
        <v>1.23848623635698</v>
      </c>
      <c r="HZ10" s="6">
        <v>1.49893640585704</v>
      </c>
      <c r="IA10" s="6">
        <v>1.61606907213602</v>
      </c>
      <c r="IB10" s="6">
        <v>1.46516888663325</v>
      </c>
      <c r="IC10" s="6">
        <v>1.39735156280692</v>
      </c>
      <c r="ID10" s="6">
        <v>1.3456277836561501</v>
      </c>
      <c r="IE10" s="6">
        <v>1.4638966826041</v>
      </c>
      <c r="IF10" s="6">
        <v>1.2064655383698699</v>
      </c>
      <c r="IG10" s="6">
        <v>1.29797237931969</v>
      </c>
      <c r="IH10" s="6">
        <v>1.2934219169038399</v>
      </c>
      <c r="II10" s="6">
        <v>1.49107089848846</v>
      </c>
      <c r="IJ10" s="6">
        <v>1.1599999781278301</v>
      </c>
      <c r="IK10" s="6">
        <v>1.2651687037961501</v>
      </c>
      <c r="IL10" s="6">
        <v>1.57200283769715</v>
      </c>
      <c r="IM10" s="6">
        <v>1.3570361728412601</v>
      </c>
      <c r="IN10" s="6">
        <v>1.66115860204332</v>
      </c>
      <c r="IO10" s="6">
        <v>1.36639474834895</v>
      </c>
      <c r="IP10" s="6">
        <v>1.11946765789389</v>
      </c>
      <c r="IQ10" s="6">
        <v>1.5523045161801099</v>
      </c>
      <c r="IR10" s="6">
        <v>1.6648236935045</v>
      </c>
      <c r="IS10" s="6">
        <v>1.4102128713756099</v>
      </c>
      <c r="IT10" s="6">
        <v>1.4978299709993499</v>
      </c>
      <c r="IU10" s="6">
        <v>1.2966971710786299</v>
      </c>
      <c r="IV10" s="6">
        <v>1.3162882710424699</v>
      </c>
      <c r="IW10" s="6">
        <v>1.7646862428976799</v>
      </c>
      <c r="IX10" s="6">
        <v>1.71697575730831</v>
      </c>
      <c r="IY10" s="6">
        <v>1.8851627543146099</v>
      </c>
      <c r="IZ10" s="6">
        <v>1.8662709002851801</v>
      </c>
      <c r="JA10" s="6">
        <v>1.3279615131103899</v>
      </c>
      <c r="JB10" s="6">
        <v>1.51751328810162</v>
      </c>
      <c r="JC10" s="6">
        <v>1.4467653587360101</v>
      </c>
      <c r="JD10" s="6">
        <v>1.2671938766039199</v>
      </c>
      <c r="JE10" s="6">
        <v>1.41510365134737</v>
      </c>
      <c r="JF10" s="6">
        <v>1.6998389600296999</v>
      </c>
      <c r="JG10" s="6">
        <v>1.40267672588632</v>
      </c>
      <c r="JH10" s="6">
        <v>1.6650983104494601</v>
      </c>
      <c r="JI10" s="6">
        <v>1.8537736725681799</v>
      </c>
      <c r="JJ10" s="6">
        <v>1.62586103332012</v>
      </c>
      <c r="JK10" s="6">
        <v>1.3542195646403301</v>
      </c>
      <c r="JL10" s="6">
        <v>1.8326918930257501</v>
      </c>
      <c r="JM10" s="6">
        <v>1.9545099324717199</v>
      </c>
      <c r="JN10" s="6">
        <v>1.51690058033608</v>
      </c>
      <c r="JO10" s="6">
        <v>1.49705800290834</v>
      </c>
      <c r="JP10" s="6">
        <v>1.47139855714909</v>
      </c>
      <c r="JQ10" s="6">
        <v>1.7547733614777199</v>
      </c>
      <c r="JR10" s="6">
        <v>1.7008214178711301</v>
      </c>
      <c r="JS10" s="6">
        <v>1.44185609090605</v>
      </c>
      <c r="JT10" s="6">
        <v>1.33278153187036</v>
      </c>
      <c r="JU10" s="6">
        <v>1.38318640366481</v>
      </c>
      <c r="JV10" s="6">
        <v>1.23882494989262</v>
      </c>
      <c r="JW10" s="6">
        <v>1.3880210002267199</v>
      </c>
      <c r="JX10" s="6">
        <v>1.77415578252372</v>
      </c>
      <c r="JY10" s="6">
        <v>1.1540723044172501</v>
      </c>
      <c r="JZ10" s="6">
        <v>1.30580435439972</v>
      </c>
      <c r="KA10" s="6">
        <v>1.5177759448925801</v>
      </c>
      <c r="KB10" s="6">
        <v>1.53957579599534</v>
      </c>
      <c r="KC10" s="6">
        <v>1.3664289472706901</v>
      </c>
      <c r="KD10" s="6">
        <v>1.4008721270908699</v>
      </c>
      <c r="KE10" s="6">
        <v>1.33136725455403</v>
      </c>
      <c r="KF10" s="6">
        <v>1.40637738349196</v>
      </c>
      <c r="KG10" s="6">
        <v>1.25161719231633</v>
      </c>
      <c r="KH10" s="6">
        <v>1.7818213172192401</v>
      </c>
      <c r="KI10" s="6">
        <v>1.4252162747347601</v>
      </c>
      <c r="KJ10" s="6">
        <v>1.49478739516737</v>
      </c>
      <c r="KK10" s="6">
        <v>1.48640487573015</v>
      </c>
      <c r="KL10" s="6">
        <v>1.6899628934462401</v>
      </c>
      <c r="KM10" s="6">
        <v>1.33770614212177</v>
      </c>
      <c r="KN10" s="6">
        <v>1.6686125203283999</v>
      </c>
      <c r="KO10" s="6">
        <v>1.5349465425478099</v>
      </c>
      <c r="KP10" s="6">
        <v>1.2823262172720999</v>
      </c>
      <c r="KQ10" s="6">
        <v>1.2486919643065799</v>
      </c>
      <c r="KR10" s="6">
        <v>1.6735864337413699</v>
      </c>
      <c r="KS10" s="6">
        <v>1.63668918314314</v>
      </c>
      <c r="KT10" s="6">
        <v>2.19077276070476</v>
      </c>
      <c r="KU10" s="6">
        <v>1.42034187413193</v>
      </c>
      <c r="KV10" s="6">
        <v>1.6165432564677999</v>
      </c>
      <c r="KW10" s="6">
        <v>1.7001434456540301</v>
      </c>
      <c r="KX10" s="6">
        <v>1.4105311941160099</v>
      </c>
      <c r="KY10" s="6">
        <v>1.40902881556739</v>
      </c>
      <c r="KZ10" s="6">
        <v>1.42054520779057</v>
      </c>
      <c r="LA10" s="6">
        <v>1.28382077797771</v>
      </c>
      <c r="LB10" s="6">
        <v>1.47660114825185</v>
      </c>
      <c r="LC10" s="6">
        <v>1.25894991623074</v>
      </c>
      <c r="LD10" s="6">
        <v>1.22575749681664</v>
      </c>
      <c r="LE10" s="6">
        <v>1.17304411710009</v>
      </c>
      <c r="LF10" s="6">
        <v>1.3167320230984501</v>
      </c>
      <c r="LG10" s="6">
        <v>1.40074065785125</v>
      </c>
      <c r="LH10" s="6">
        <v>2.0106011404977302</v>
      </c>
      <c r="LI10" s="6">
        <v>1.5711809238327601</v>
      </c>
      <c r="LJ10" s="6">
        <v>1.8567060872427901</v>
      </c>
      <c r="LK10" s="6">
        <v>1.6119041055450001</v>
      </c>
      <c r="LL10" s="6">
        <v>1.30563067647178</v>
      </c>
      <c r="LM10" s="6">
        <v>1.5483042530584801</v>
      </c>
      <c r="LN10" s="6">
        <v>1.3325840657178201</v>
      </c>
      <c r="LO10" s="6">
        <v>1.6662783286402201</v>
      </c>
      <c r="LP10" s="6">
        <v>1.5145799282954</v>
      </c>
      <c r="LQ10" s="6">
        <v>1.31685705885159</v>
      </c>
      <c r="LR10" s="6">
        <v>1.4853982453917101</v>
      </c>
      <c r="LS10" s="6">
        <v>1.3980710062573301</v>
      </c>
      <c r="LT10" s="6">
        <v>1.94307417475581</v>
      </c>
      <c r="LU10" s="6">
        <v>1.1097532149875</v>
      </c>
      <c r="LV10" s="6">
        <v>1.1752348463598601</v>
      </c>
      <c r="LW10" s="6">
        <v>1.66799444577332</v>
      </c>
      <c r="LX10" s="6">
        <v>1.4351768601575801</v>
      </c>
      <c r="LY10" s="6">
        <v>1.43118451934238</v>
      </c>
      <c r="LZ10" s="6">
        <v>1.37182897515189</v>
      </c>
      <c r="MA10" s="6">
        <v>1.38908624483208</v>
      </c>
      <c r="MB10" s="6">
        <v>1.8091153886095399</v>
      </c>
      <c r="MC10" s="6">
        <v>1.1434284276097599</v>
      </c>
      <c r="MD10" s="6">
        <v>1.55684058124827</v>
      </c>
      <c r="ME10" s="6">
        <v>1.9106644055072299</v>
      </c>
      <c r="MF10" s="6">
        <v>1.45970752569174</v>
      </c>
      <c r="MG10" s="6">
        <v>1.85826220826328</v>
      </c>
      <c r="MH10" s="6">
        <v>1.46214299840565</v>
      </c>
      <c r="MI10" s="6">
        <v>1.3203501051887101</v>
      </c>
      <c r="MJ10" s="6">
        <v>1.34533566878362</v>
      </c>
      <c r="MK10" s="6">
        <v>1.4477583003131</v>
      </c>
      <c r="ML10" s="6">
        <v>1.43715136842715</v>
      </c>
      <c r="MM10" s="6">
        <v>1.5141744205788501</v>
      </c>
      <c r="MN10" s="6">
        <v>1.1535192652155</v>
      </c>
      <c r="MO10" s="6">
        <v>1.6644446848957499</v>
      </c>
      <c r="MP10" s="6">
        <v>1.48800053803122</v>
      </c>
      <c r="MQ10" s="6">
        <v>1.90714265382641</v>
      </c>
      <c r="MR10" s="6">
        <v>1.48523612613475</v>
      </c>
      <c r="MS10" s="6">
        <v>1.1892329968908799</v>
      </c>
      <c r="MT10" s="6">
        <v>1.46249971829263</v>
      </c>
      <c r="MU10" s="6">
        <v>1.86032893287409</v>
      </c>
      <c r="MV10" s="6">
        <v>1.4543381194384399</v>
      </c>
      <c r="MW10" s="6">
        <v>1.32406412602872</v>
      </c>
      <c r="MX10" s="6">
        <v>1.4400004337221</v>
      </c>
      <c r="MY10" s="6">
        <v>1.5450451308516799</v>
      </c>
      <c r="MZ10" s="6">
        <v>1.1312604317885999</v>
      </c>
      <c r="NA10" s="6">
        <v>1.5452414495154601</v>
      </c>
      <c r="NB10" s="6">
        <v>1.34072031712242</v>
      </c>
      <c r="NC10" s="6">
        <v>1.35311801998044</v>
      </c>
      <c r="ND10" s="6">
        <v>1.3343463622979901</v>
      </c>
      <c r="NE10" s="6">
        <v>1.274369941534</v>
      </c>
      <c r="NF10" s="6">
        <v>1.26084422985469</v>
      </c>
      <c r="NG10" s="6">
        <v>1.1667764651919199</v>
      </c>
      <c r="NH10" s="6">
        <v>1.3365897118214201</v>
      </c>
      <c r="NI10" s="6">
        <v>1.89456527815474</v>
      </c>
      <c r="NJ10" s="6">
        <v>1.0997425487810399</v>
      </c>
      <c r="NK10" s="6">
        <v>1.47773333868257</v>
      </c>
      <c r="NL10" s="6">
        <v>1.39528730688083</v>
      </c>
      <c r="NM10" s="6">
        <v>1.26649031094645</v>
      </c>
      <c r="NN10" s="6">
        <v>1.6135855264235499</v>
      </c>
      <c r="NO10" s="6">
        <v>1.0856649311544699</v>
      </c>
      <c r="NP10" s="6">
        <v>1.45016662525537</v>
      </c>
      <c r="NQ10" s="6">
        <v>1.5887634526832599</v>
      </c>
      <c r="NR10" s="6">
        <v>1.4806865067747501</v>
      </c>
      <c r="NS10" s="6">
        <v>1.50869698088986</v>
      </c>
      <c r="NT10" s="6">
        <v>1.37528239323559</v>
      </c>
      <c r="NU10" s="6">
        <v>1.8540368254491699</v>
      </c>
      <c r="NV10" s="6">
        <v>1.57639526410461</v>
      </c>
      <c r="NW10" s="6">
        <v>1.4905724092626</v>
      </c>
      <c r="NX10" s="6">
        <v>1.30732989558511</v>
      </c>
      <c r="NY10" s="6">
        <v>1.8206294847067399</v>
      </c>
      <c r="NZ10" s="6">
        <v>1.6600611467598301</v>
      </c>
      <c r="OA10" s="6">
        <v>1.4870433618176599</v>
      </c>
      <c r="OB10" s="6">
        <v>1.2156669185242099</v>
      </c>
      <c r="OC10" s="6">
        <v>1.4121075045113201</v>
      </c>
      <c r="OD10" s="6">
        <v>1.1368814355200301</v>
      </c>
      <c r="OE10" s="6">
        <v>1.3363317110642701</v>
      </c>
      <c r="OF10" s="6">
        <v>1.2464911050397101</v>
      </c>
      <c r="OG10" s="6">
        <v>1.3146204684868801</v>
      </c>
      <c r="OH10" s="6">
        <v>1.82054229995207</v>
      </c>
      <c r="OI10" s="6">
        <v>1.49812335047475</v>
      </c>
      <c r="OJ10" s="6">
        <v>2.07709771420227</v>
      </c>
      <c r="OK10" s="6">
        <v>1.6652055140807001</v>
      </c>
      <c r="OL10" s="6">
        <v>1.3653462855032199</v>
      </c>
      <c r="OM10" s="6">
        <v>1.29342838381222</v>
      </c>
      <c r="ON10" s="6">
        <v>1.41855965583806</v>
      </c>
      <c r="OO10" s="6">
        <v>1.96677396142848</v>
      </c>
      <c r="OP10" s="6">
        <v>1.61728887624021</v>
      </c>
      <c r="OQ10" s="6">
        <v>1.28708892430206</v>
      </c>
      <c r="OR10" s="6">
        <v>1.2099207071742</v>
      </c>
      <c r="OS10" s="6">
        <v>1.69854106404981</v>
      </c>
      <c r="OT10" s="6">
        <v>1.5978892096530599</v>
      </c>
      <c r="OU10" s="6">
        <v>1.4309514293032</v>
      </c>
      <c r="OV10" s="6">
        <v>1.5918870632131901</v>
      </c>
      <c r="OW10" s="6">
        <v>1.71120899705854</v>
      </c>
      <c r="OX10" s="6">
        <v>2.0992323185708899</v>
      </c>
      <c r="OY10" s="6">
        <v>1.54907663471141</v>
      </c>
      <c r="OZ10" s="6">
        <v>1.3663206266671299</v>
      </c>
      <c r="PA10" s="6">
        <v>1.49354263303102</v>
      </c>
      <c r="PB10" s="6">
        <v>1.6489565429381801</v>
      </c>
      <c r="PC10" s="6">
        <v>1.4645550101968301</v>
      </c>
      <c r="PD10" s="6">
        <v>1.6237033582920499</v>
      </c>
      <c r="PE10" s="6">
        <v>1.29514300488735</v>
      </c>
      <c r="PF10" s="6">
        <v>1.49991779817313</v>
      </c>
      <c r="PG10" s="6">
        <v>1.2681079736510299</v>
      </c>
      <c r="PH10" s="6">
        <v>1.8003202454505201</v>
      </c>
      <c r="PI10" s="6">
        <v>1.3189953182933101</v>
      </c>
      <c r="PJ10" s="6">
        <v>1.2672049692321901</v>
      </c>
      <c r="PK10" s="6">
        <v>1.51434239010321</v>
      </c>
      <c r="PL10" s="6">
        <v>1.5192121237270499</v>
      </c>
      <c r="PM10" s="6">
        <v>1.3027705154178</v>
      </c>
      <c r="PN10" s="6">
        <v>1.3399346330919299</v>
      </c>
      <c r="PO10" s="6">
        <v>1.4640065528777799</v>
      </c>
      <c r="PP10" s="6">
        <v>1.4260037755480299</v>
      </c>
      <c r="PQ10" s="6">
        <v>1.21515594697075</v>
      </c>
      <c r="PR10" s="6">
        <v>1.26922002701648</v>
      </c>
      <c r="PS10" s="6">
        <v>1.3421837661236999</v>
      </c>
      <c r="PT10" s="6">
        <v>1.4148865123301899</v>
      </c>
      <c r="PU10" s="6">
        <v>1.47555671585723</v>
      </c>
      <c r="PV10" s="6">
        <v>1.2855242028389</v>
      </c>
      <c r="PW10" s="6">
        <v>1.7699646146648</v>
      </c>
      <c r="PX10" s="6">
        <v>1.86520587695915</v>
      </c>
      <c r="PY10" s="6">
        <v>1.5576919032818699</v>
      </c>
      <c r="PZ10" s="6">
        <v>1.41880789139968</v>
      </c>
      <c r="QA10" s="6">
        <v>1.72302570085615</v>
      </c>
      <c r="QB10" s="6">
        <v>1.5910141486396601</v>
      </c>
      <c r="QC10" s="6">
        <v>1.1221458042043799</v>
      </c>
      <c r="QD10" s="6">
        <v>1.27068916925112</v>
      </c>
      <c r="QE10" s="6">
        <v>1.71280625206416</v>
      </c>
      <c r="QF10" s="6">
        <v>1.38843845917066</v>
      </c>
      <c r="QG10" s="6">
        <v>1.5117145411094299</v>
      </c>
      <c r="QH10" s="6">
        <v>1.9867073682943599</v>
      </c>
      <c r="QI10" s="6">
        <v>1.5096339984012801</v>
      </c>
      <c r="QJ10" s="6">
        <v>1.4600757214939</v>
      </c>
      <c r="QK10" s="6">
        <v>1.72732369053452</v>
      </c>
      <c r="QL10" s="6">
        <v>2.0389801118554902</v>
      </c>
      <c r="QM10" s="6">
        <v>1.2329740457623</v>
      </c>
      <c r="QN10" s="6">
        <v>1.4741970443026799</v>
      </c>
      <c r="QO10" s="6">
        <v>1.40304434248757</v>
      </c>
      <c r="QP10" s="6">
        <v>1.4121605233951799</v>
      </c>
      <c r="QQ10" s="6">
        <v>1.5277749710756201</v>
      </c>
      <c r="QR10" s="6">
        <v>1.37637429287083</v>
      </c>
      <c r="QS10" s="6">
        <v>1.5290916702197801</v>
      </c>
      <c r="QT10" s="6">
        <v>1.5514885598842201</v>
      </c>
      <c r="QU10" s="6">
        <v>1.54196829749222</v>
      </c>
      <c r="QV10" s="6">
        <v>1.35095726711257</v>
      </c>
      <c r="QW10" s="6">
        <v>1.1670076348193501</v>
      </c>
      <c r="QX10" s="6">
        <v>1.8548258246628999</v>
      </c>
      <c r="QY10" s="6">
        <v>2.05202610556697</v>
      </c>
      <c r="QZ10" s="6">
        <v>1.4964515207522799</v>
      </c>
      <c r="RA10" s="6">
        <v>1.5365878112828999</v>
      </c>
      <c r="RB10" s="6">
        <v>1.5845790751766899</v>
      </c>
      <c r="RC10" s="6">
        <v>1.6361496177330199</v>
      </c>
      <c r="RD10" s="6">
        <v>1.32434276155319</v>
      </c>
      <c r="RE10" s="6">
        <v>1.49379573153873</v>
      </c>
      <c r="RF10" s="6">
        <v>1.4018742905178201</v>
      </c>
      <c r="RG10" s="6">
        <v>1.2793937805219699</v>
      </c>
      <c r="RH10" s="6">
        <v>1.7286105911635099</v>
      </c>
      <c r="RI10" s="6">
        <v>1.5669726876118699</v>
      </c>
      <c r="RJ10" s="6">
        <v>1.5542615286466701</v>
      </c>
      <c r="RK10" s="6">
        <v>1.9474336405099699</v>
      </c>
      <c r="RL10" s="6">
        <v>1.7110131262570401</v>
      </c>
      <c r="RM10" s="6">
        <v>1.3861020993101401</v>
      </c>
      <c r="RN10" s="6">
        <v>1.7678237060861199</v>
      </c>
      <c r="RO10" s="6">
        <v>1.5661559163766401</v>
      </c>
      <c r="RP10" s="6">
        <v>1.4475531515095901</v>
      </c>
      <c r="RQ10" s="6">
        <v>1.45635041733628</v>
      </c>
      <c r="RR10" s="6">
        <v>1.78739857361136</v>
      </c>
      <c r="RS10" s="6">
        <v>1.7517470383957201</v>
      </c>
      <c r="RT10" s="6">
        <v>1.90914214599614</v>
      </c>
      <c r="RU10" s="6">
        <v>1.5945763842742999</v>
      </c>
      <c r="RV10" s="6">
        <v>1.3191313582917199</v>
      </c>
      <c r="RW10" s="6">
        <v>1.91422537070569</v>
      </c>
      <c r="RX10" s="6">
        <v>1.19719821249503</v>
      </c>
      <c r="RY10" s="6">
        <v>1.39306610715214</v>
      </c>
      <c r="RZ10" s="6">
        <v>1.6296759476859699</v>
      </c>
      <c r="SA10" s="6">
        <v>1.4938151187989099</v>
      </c>
      <c r="SB10" s="6">
        <v>1.6750951765233799</v>
      </c>
      <c r="SC10" s="6">
        <v>1.80141388628327</v>
      </c>
      <c r="SD10" s="6">
        <v>1.8281344694344901</v>
      </c>
      <c r="SE10" s="6">
        <v>1.3062618549932301</v>
      </c>
      <c r="SF10" s="6">
        <v>1.22146061593266</v>
      </c>
      <c r="SG10" s="6">
        <v>1.1860687872219999</v>
      </c>
      <c r="SH10" s="6">
        <v>1.6268005901435101</v>
      </c>
      <c r="SI10" s="6">
        <v>1.6262597418767699</v>
      </c>
      <c r="SJ10" s="6">
        <v>1.2762943145838499</v>
      </c>
      <c r="SK10" s="6">
        <v>1.32049115590431</v>
      </c>
      <c r="SL10" s="6">
        <v>1.9515075106614099</v>
      </c>
      <c r="SM10" s="6">
        <v>1.3844374029603601</v>
      </c>
      <c r="SN10" s="6">
        <v>1.17309804059079</v>
      </c>
      <c r="SO10" s="6">
        <v>1.3812044614219099</v>
      </c>
      <c r="SP10" s="6">
        <v>1.6568818232585201</v>
      </c>
      <c r="SQ10" s="6">
        <v>1.87215127116823</v>
      </c>
      <c r="SR10" s="6">
        <v>1.6378475247558899</v>
      </c>
      <c r="SS10" s="6">
        <v>1.73203218541285</v>
      </c>
      <c r="ST10" s="6">
        <v>1.2302446496985999</v>
      </c>
      <c r="SU10" s="6">
        <v>1.5590602029607901</v>
      </c>
      <c r="SV10" s="6">
        <v>1.54726577660658</v>
      </c>
      <c r="SW10" s="6">
        <v>1.49432805231722</v>
      </c>
      <c r="SX10" s="6">
        <v>6.5064868887779598E-2</v>
      </c>
      <c r="SY10" s="6">
        <v>1.65895917677896</v>
      </c>
      <c r="SZ10" s="6">
        <v>1.6503394731051</v>
      </c>
      <c r="TA10" s="6">
        <v>1.4318184017365401</v>
      </c>
      <c r="TB10" s="6">
        <v>1.6079321795730199</v>
      </c>
      <c r="TC10" s="6">
        <v>1.4942962301915601</v>
      </c>
      <c r="TD10" s="6">
        <v>1.62384320959072</v>
      </c>
      <c r="TE10" s="6">
        <v>1.4338849772489299</v>
      </c>
      <c r="TF10" s="6">
        <v>1.6436003027697099</v>
      </c>
      <c r="TG10" s="6">
        <v>1.11504308147708</v>
      </c>
      <c r="TH10" s="6">
        <v>1.40209726409672</v>
      </c>
      <c r="TI10" s="6">
        <v>1.3754093073517399</v>
      </c>
      <c r="TJ10" s="6">
        <v>1.8624110462658601</v>
      </c>
      <c r="TK10" s="6">
        <v>1.22099154081343</v>
      </c>
      <c r="TL10" s="6">
        <v>1.4453941139431199</v>
      </c>
      <c r="TM10" s="6">
        <v>1.2057718914365201</v>
      </c>
      <c r="TN10" s="6">
        <v>1.4275902082207901</v>
      </c>
      <c r="TO10" s="6">
        <v>1.69642038621645</v>
      </c>
      <c r="TP10" s="6">
        <v>1.1255949229052</v>
      </c>
      <c r="TQ10" s="6">
        <v>1.5716154742558099</v>
      </c>
    </row>
    <row r="11" spans="1:537" x14ac:dyDescent="0.3">
      <c r="A11" s="28"/>
      <c r="B11" s="28"/>
      <c r="C11" s="28"/>
      <c r="D11" s="28"/>
      <c r="E11" s="14"/>
      <c r="F11" s="14"/>
      <c r="H11" s="19" t="s">
        <v>79</v>
      </c>
      <c r="I11" s="19" t="s">
        <v>10</v>
      </c>
      <c r="J11" s="26">
        <f t="shared" si="5"/>
        <v>0.19530901160436365</v>
      </c>
      <c r="K11" s="20">
        <v>5.6422726858000001</v>
      </c>
      <c r="L11" s="5"/>
      <c r="M11" s="19" t="s">
        <v>79</v>
      </c>
      <c r="N11" s="19" t="s">
        <v>10</v>
      </c>
      <c r="O11" s="26">
        <f t="shared" si="6"/>
        <v>0.15288425273831296</v>
      </c>
      <c r="P11" s="20">
        <f t="shared" si="7"/>
        <v>3.8770179048754154</v>
      </c>
      <c r="Q11" s="5"/>
      <c r="R11" s="19" t="s">
        <v>79</v>
      </c>
      <c r="S11" s="19" t="s">
        <v>10</v>
      </c>
      <c r="T11" s="26">
        <f t="shared" si="8"/>
        <v>0.20728893227570308</v>
      </c>
      <c r="U11" s="20">
        <f t="shared" si="9"/>
        <v>7.0386792650212753</v>
      </c>
      <c r="AF11" s="1" t="s">
        <v>82</v>
      </c>
      <c r="AG11" s="15">
        <f t="shared" si="0"/>
        <v>0.18143175435167919</v>
      </c>
      <c r="AH11" s="16">
        <f t="shared" si="1"/>
        <v>0.2294249345975706</v>
      </c>
      <c r="AI11" s="1">
        <f t="shared" si="2"/>
        <v>1.4864639275227027</v>
      </c>
      <c r="AJ11" s="6">
        <f t="shared" si="3"/>
        <v>1.2167721693717715</v>
      </c>
      <c r="AK11" s="17">
        <f t="shared" si="4"/>
        <v>1.8274958168762467</v>
      </c>
      <c r="AL11" s="1">
        <v>1.3139957613562001</v>
      </c>
      <c r="AM11" s="1">
        <v>1.32635518794936</v>
      </c>
      <c r="AN11" s="1">
        <v>1.49961724115772</v>
      </c>
      <c r="AO11" s="6">
        <v>1.5882229109867101</v>
      </c>
      <c r="AP11" s="6">
        <v>1.75981136828708</v>
      </c>
      <c r="AQ11" s="6">
        <v>1.45127224134406</v>
      </c>
      <c r="AR11" s="6">
        <v>1.69673081088761</v>
      </c>
      <c r="AS11" s="6">
        <v>1.7425910277607599</v>
      </c>
      <c r="AT11" s="6">
        <v>1.56669618467398</v>
      </c>
      <c r="AU11" s="6">
        <v>1.23555787519952</v>
      </c>
      <c r="AV11" s="6">
        <v>1.33591446574832</v>
      </c>
      <c r="AW11" s="6">
        <v>1.3967400629848601</v>
      </c>
      <c r="AX11" s="6">
        <v>0.99987764914670896</v>
      </c>
      <c r="AY11" s="6">
        <v>1.4741784988812201</v>
      </c>
      <c r="AZ11" s="6">
        <v>1.19549177758248</v>
      </c>
      <c r="BA11" s="6">
        <v>1.31575881794136</v>
      </c>
      <c r="BB11" s="6">
        <v>1.25601383987861</v>
      </c>
      <c r="BC11" s="6">
        <v>1.55354266206461</v>
      </c>
      <c r="BD11" s="6">
        <v>1.4588262191907999</v>
      </c>
      <c r="BE11" s="6">
        <v>1.1280930299129901</v>
      </c>
      <c r="BF11" s="6">
        <v>1.73371728492029</v>
      </c>
      <c r="BG11" s="6">
        <v>1.4694771626090699</v>
      </c>
      <c r="BH11" s="6">
        <v>1.4945680918776301</v>
      </c>
      <c r="BI11" s="6">
        <v>1.5430921189617099</v>
      </c>
      <c r="BJ11" s="6">
        <v>1.58101049167959</v>
      </c>
      <c r="BK11" s="6">
        <v>1.57370626125494</v>
      </c>
      <c r="BL11" s="6">
        <v>1.2634617327667399</v>
      </c>
      <c r="BM11" s="6">
        <v>1.51659168457424</v>
      </c>
      <c r="BN11" s="6">
        <v>1.38758870136102</v>
      </c>
      <c r="BO11" s="6">
        <v>1.3688906816161399</v>
      </c>
      <c r="BP11" s="6">
        <v>1.5888572351325101</v>
      </c>
      <c r="BQ11" s="6">
        <v>1.3967372442908099</v>
      </c>
      <c r="BR11" s="6">
        <v>1.5062960108279799</v>
      </c>
      <c r="BS11" s="6">
        <v>1.21158073383415</v>
      </c>
      <c r="BT11" s="6">
        <v>1.4912712916597499</v>
      </c>
      <c r="BU11" s="6">
        <v>1.3957070995432601</v>
      </c>
      <c r="BV11" s="6">
        <v>1.4753732489570199</v>
      </c>
      <c r="BW11" s="6">
        <v>1.64440197289177</v>
      </c>
      <c r="BX11" s="6">
        <v>1.45428932924684</v>
      </c>
      <c r="BY11" s="6">
        <v>1.51400989840345</v>
      </c>
      <c r="BZ11" s="6">
        <v>1.3434751141819601</v>
      </c>
      <c r="CA11" s="6">
        <v>1.66849243031965</v>
      </c>
      <c r="CB11" s="6">
        <v>1.4414526379474299</v>
      </c>
      <c r="CC11" s="6">
        <v>1.6080336962420201</v>
      </c>
      <c r="CD11" s="6">
        <v>1.3424058440172399</v>
      </c>
      <c r="CE11" s="6">
        <v>1.6410273702253899</v>
      </c>
      <c r="CF11" s="6">
        <v>1.69347515910014</v>
      </c>
      <c r="CG11" s="6">
        <v>1.3806518012078099</v>
      </c>
      <c r="CH11" s="6">
        <v>1.1376941735994901</v>
      </c>
      <c r="CI11" s="6">
        <v>1.50327789817042</v>
      </c>
      <c r="CJ11" s="6">
        <v>1.4744266934867301</v>
      </c>
      <c r="CK11" s="6">
        <v>1.2779478891295399</v>
      </c>
      <c r="CL11" s="6">
        <v>1.58071288886765</v>
      </c>
      <c r="CM11" s="6">
        <v>1.46158832759934</v>
      </c>
      <c r="CN11" s="6">
        <v>1.5466140923816301</v>
      </c>
      <c r="CO11" s="6">
        <v>1.3821749234760801</v>
      </c>
      <c r="CP11" s="6">
        <v>1.31420963065639</v>
      </c>
      <c r="CQ11" s="6">
        <v>1.4032633608807901</v>
      </c>
      <c r="CR11" s="6">
        <v>1.5062883434462699</v>
      </c>
      <c r="CS11" s="6">
        <v>1.2789138560482201</v>
      </c>
      <c r="CT11" s="6">
        <v>1.51199739167673</v>
      </c>
      <c r="CU11" s="6">
        <v>1.3689699628060601</v>
      </c>
      <c r="CV11" s="6">
        <v>1.4507618132172</v>
      </c>
      <c r="CW11" s="6">
        <v>1.3323421195910801</v>
      </c>
      <c r="CX11" s="6">
        <v>1.5211143710342001</v>
      </c>
      <c r="CY11" s="6">
        <v>1.3393444669057599</v>
      </c>
      <c r="CZ11" s="6">
        <v>1.4144056416577899</v>
      </c>
      <c r="DA11" s="6">
        <v>1.28403124322729</v>
      </c>
      <c r="DB11" s="6">
        <v>1.5849095714947901</v>
      </c>
      <c r="DC11" s="6">
        <v>1.6372108666389</v>
      </c>
      <c r="DD11" s="6">
        <v>1.76767623252408</v>
      </c>
      <c r="DE11" s="6">
        <v>1.2304072736743601</v>
      </c>
      <c r="DF11" s="6">
        <v>1.3404947270417999</v>
      </c>
      <c r="DG11" s="6">
        <v>1.45933791015183</v>
      </c>
      <c r="DH11" s="6">
        <v>1.5965854387569101</v>
      </c>
      <c r="DI11" s="6">
        <v>1.22308667472972</v>
      </c>
      <c r="DJ11" s="6">
        <v>1.6308850201503999</v>
      </c>
      <c r="DK11" s="6">
        <v>1.25008446428586</v>
      </c>
      <c r="DL11" s="6">
        <v>1.5689071439269899</v>
      </c>
      <c r="DM11" s="6">
        <v>1.67066610500472</v>
      </c>
      <c r="DN11" s="6">
        <v>1.6878266672481601</v>
      </c>
      <c r="DO11" s="6">
        <v>1.7666419343047499</v>
      </c>
      <c r="DP11" s="6">
        <v>1.34213095135464</v>
      </c>
      <c r="DQ11" s="6">
        <v>1.3807845764292299</v>
      </c>
      <c r="DR11" s="6">
        <v>2.4495073353490699</v>
      </c>
      <c r="DS11" s="6">
        <v>1.6100788112161</v>
      </c>
      <c r="DT11" s="6">
        <v>1.27886522018793</v>
      </c>
      <c r="DU11" s="6">
        <v>1.4689336068304599</v>
      </c>
      <c r="DV11" s="6">
        <v>1.44574935169159</v>
      </c>
      <c r="DW11" s="6">
        <v>1.47833918894913</v>
      </c>
      <c r="DX11" s="6">
        <v>1.47145028802691</v>
      </c>
      <c r="DY11" s="6">
        <v>1.42127548017029</v>
      </c>
      <c r="DZ11" s="6">
        <v>1.46041811503745</v>
      </c>
      <c r="EA11" s="6">
        <v>1.5236862085126901</v>
      </c>
      <c r="EB11" s="6">
        <v>1.50599380523626</v>
      </c>
      <c r="EC11" s="6">
        <v>1.6121932502334899</v>
      </c>
      <c r="ED11" s="6">
        <v>1.5714409378410601</v>
      </c>
      <c r="EE11" s="6">
        <v>1.5864965609880399</v>
      </c>
      <c r="EF11" s="6">
        <v>1.35548048490327</v>
      </c>
      <c r="EG11" s="6">
        <v>1.54186419606491</v>
      </c>
      <c r="EH11" s="6">
        <v>1.4104894788998401</v>
      </c>
      <c r="EI11" s="6">
        <v>1.4214962591843701</v>
      </c>
      <c r="EJ11" s="6">
        <v>1.29126126435765</v>
      </c>
      <c r="EK11" s="6">
        <v>1.41973672100923</v>
      </c>
      <c r="EL11" s="6">
        <v>1.4900223072634</v>
      </c>
      <c r="EM11" s="6">
        <v>1.66221727477264</v>
      </c>
      <c r="EN11" s="6">
        <v>1.83758091626064</v>
      </c>
      <c r="EO11" s="6">
        <v>1.3481373499529901</v>
      </c>
      <c r="EP11" s="6">
        <v>1.88817188083735</v>
      </c>
      <c r="EQ11" s="6">
        <v>1.4465504755613601</v>
      </c>
      <c r="ER11" s="6">
        <v>1.6678598019095201</v>
      </c>
      <c r="ES11" s="6">
        <v>1.51271340785831</v>
      </c>
      <c r="ET11" s="6">
        <v>1.6285285591777201</v>
      </c>
      <c r="EU11" s="6">
        <v>1.56903721900989</v>
      </c>
      <c r="EV11" s="6">
        <v>1.8267969715840899</v>
      </c>
      <c r="EW11" s="6">
        <v>1.69455992338186</v>
      </c>
      <c r="EX11" s="6">
        <v>1.5881996815064501</v>
      </c>
      <c r="EY11" s="6">
        <v>1.56510683932696</v>
      </c>
      <c r="EZ11" s="6">
        <v>1.9277668589860599</v>
      </c>
      <c r="FA11" s="6">
        <v>1.58489363328845</v>
      </c>
      <c r="FB11" s="6">
        <v>1.3511561420054901</v>
      </c>
      <c r="FC11" s="6">
        <v>1.6400253259442701</v>
      </c>
      <c r="FD11" s="6">
        <v>1.7223897324261701</v>
      </c>
      <c r="FE11" s="6">
        <v>1.60027252479032</v>
      </c>
      <c r="FF11" s="6">
        <v>1.8734355080218299</v>
      </c>
      <c r="FG11" s="6">
        <v>1.40125050881776</v>
      </c>
      <c r="FH11" s="6">
        <v>1.8016674061536599</v>
      </c>
      <c r="FI11" s="6">
        <v>1.48259921149328</v>
      </c>
      <c r="FJ11" s="6">
        <v>1.5382742016288999</v>
      </c>
      <c r="FK11" s="6">
        <v>1.6666002355345799</v>
      </c>
      <c r="FL11" s="6">
        <v>1.4134223586854799</v>
      </c>
      <c r="FM11" s="6">
        <v>1.7410086779459899</v>
      </c>
      <c r="FN11" s="6">
        <v>1.4837984857872399</v>
      </c>
      <c r="FO11" s="6">
        <v>1.29497680689032</v>
      </c>
      <c r="FP11" s="6">
        <v>1.7288496744878701</v>
      </c>
      <c r="FQ11" s="6">
        <v>1.1941914080935201</v>
      </c>
      <c r="FR11" s="6">
        <v>1.65356021811634</v>
      </c>
      <c r="FS11" s="6">
        <v>1.6438281430762001</v>
      </c>
      <c r="FT11" s="6">
        <v>1.24228668408749</v>
      </c>
      <c r="FU11" s="6">
        <v>1.5272082598127299</v>
      </c>
      <c r="FV11" s="6">
        <v>1.5298711085378101</v>
      </c>
      <c r="FW11" s="6">
        <v>1.26744423716627</v>
      </c>
      <c r="FX11" s="6">
        <v>1.5462939346080899</v>
      </c>
      <c r="FY11" s="6">
        <v>1.5271161263378099</v>
      </c>
      <c r="FZ11" s="6">
        <v>1.76011301591536</v>
      </c>
      <c r="GA11" s="6">
        <v>1.4795805425106301</v>
      </c>
      <c r="GB11" s="6">
        <v>1.6870514152242699</v>
      </c>
      <c r="GC11" s="6">
        <v>1.3019058853091201</v>
      </c>
      <c r="GD11" s="6">
        <v>1.6565762132314299</v>
      </c>
      <c r="GE11" s="6">
        <v>1.28435048667137</v>
      </c>
      <c r="GF11" s="6">
        <v>1.88055819599834</v>
      </c>
      <c r="GG11" s="6">
        <v>1.44964182098683</v>
      </c>
      <c r="GH11" s="6">
        <v>1.5345775179535699</v>
      </c>
      <c r="GI11" s="6">
        <v>1.47574771993858</v>
      </c>
      <c r="GJ11" s="6">
        <v>1.32256579969023</v>
      </c>
      <c r="GK11" s="6">
        <v>1.6352519353275901</v>
      </c>
      <c r="GL11" s="6">
        <v>1.68821942039623</v>
      </c>
      <c r="GM11" s="6">
        <v>1.7516497692411399</v>
      </c>
      <c r="GN11" s="6">
        <v>1.1862818677670199</v>
      </c>
      <c r="GO11" s="6">
        <v>1.49783913755608</v>
      </c>
      <c r="GP11" s="6">
        <v>1.4025014293135301</v>
      </c>
      <c r="GQ11" s="6">
        <v>1.16275645373184</v>
      </c>
      <c r="GR11" s="6">
        <v>1.64028945238695</v>
      </c>
      <c r="GS11" s="6">
        <v>1.2546185723384</v>
      </c>
      <c r="GT11" s="6">
        <v>1.5107695365396201</v>
      </c>
      <c r="GU11" s="6">
        <v>1.3080048485141</v>
      </c>
      <c r="GV11" s="6">
        <v>1.3285212747530599</v>
      </c>
      <c r="GW11" s="6">
        <v>1.79722693224845</v>
      </c>
      <c r="GX11" s="6">
        <v>1.8021951660392901</v>
      </c>
      <c r="GY11" s="6">
        <v>1.34914515507889</v>
      </c>
      <c r="GZ11" s="6">
        <v>1.4371855510029099</v>
      </c>
      <c r="HA11" s="6">
        <v>1.67355972962694</v>
      </c>
      <c r="HB11" s="6">
        <v>1.2456459718759501</v>
      </c>
      <c r="HC11" s="6">
        <v>1.4401735198241099</v>
      </c>
      <c r="HD11" s="6">
        <v>1.56406912197815</v>
      </c>
      <c r="HE11" s="6">
        <v>1.5480552613840799</v>
      </c>
      <c r="HF11" s="6">
        <v>1.3051965909840699</v>
      </c>
      <c r="HG11" s="6">
        <v>1.35353059947861</v>
      </c>
      <c r="HH11" s="6">
        <v>1.4302842317698401</v>
      </c>
      <c r="HI11" s="6">
        <v>1.5123556680615799</v>
      </c>
      <c r="HJ11" s="6">
        <v>1.99877883224995</v>
      </c>
      <c r="HK11" s="6">
        <v>1.5296884472127299</v>
      </c>
      <c r="HL11" s="6">
        <v>1.3880915994221601</v>
      </c>
      <c r="HM11" s="6">
        <v>1.84334668215721</v>
      </c>
      <c r="HN11" s="6">
        <v>1.5121169078493699</v>
      </c>
      <c r="HO11" s="6">
        <v>1.9429347535883299</v>
      </c>
      <c r="HP11" s="6">
        <v>1.3705026670635201</v>
      </c>
      <c r="HQ11" s="6">
        <v>1.5137195681028399</v>
      </c>
      <c r="HR11" s="6">
        <v>-0.71499028545611698</v>
      </c>
      <c r="HS11" s="6">
        <v>1.5234752207384601</v>
      </c>
      <c r="HT11" s="6">
        <v>1.5521707800960001</v>
      </c>
      <c r="HU11" s="6">
        <v>1.5166894694709301</v>
      </c>
      <c r="HV11" s="6">
        <v>1.51892939084519</v>
      </c>
      <c r="HW11" s="6">
        <v>1.4061856040322001</v>
      </c>
      <c r="HX11" s="6">
        <v>1.7953553227591601</v>
      </c>
      <c r="HY11" s="6">
        <v>1.5436061954578999</v>
      </c>
      <c r="HZ11" s="6">
        <v>1.54934250750947</v>
      </c>
      <c r="IA11" s="6">
        <v>1.64111353751148</v>
      </c>
      <c r="IB11" s="6">
        <v>1.5919920184010701</v>
      </c>
      <c r="IC11" s="6">
        <v>1.63237467597301</v>
      </c>
      <c r="ID11" s="6">
        <v>1.3321209008697401</v>
      </c>
      <c r="IE11" s="6">
        <v>1.81927337006099</v>
      </c>
      <c r="IF11" s="6">
        <v>1.3067885984531999</v>
      </c>
      <c r="IG11" s="6">
        <v>1.6461304749758701</v>
      </c>
      <c r="IH11" s="6">
        <v>1.44280159747292</v>
      </c>
      <c r="II11" s="6">
        <v>1.34804038225272</v>
      </c>
      <c r="IJ11" s="6">
        <v>1.52625929967714</v>
      </c>
      <c r="IK11" s="6">
        <v>1.23456918662124</v>
      </c>
      <c r="IL11" s="6">
        <v>1.57171459073869</v>
      </c>
      <c r="IM11" s="6">
        <v>1.4430615571429399</v>
      </c>
      <c r="IN11" s="6">
        <v>1.5387082314548699</v>
      </c>
      <c r="IO11" s="6">
        <v>1.5365670576044099</v>
      </c>
      <c r="IP11" s="6">
        <v>1.2967091366563199</v>
      </c>
      <c r="IQ11" s="6">
        <v>1.38757935264166</v>
      </c>
      <c r="IR11" s="6">
        <v>1.2886347070103501</v>
      </c>
      <c r="IS11" s="6">
        <v>1.3313819812824099</v>
      </c>
      <c r="IT11" s="6">
        <v>1.2460440610824</v>
      </c>
      <c r="IU11" s="6">
        <v>1.42533560990755</v>
      </c>
      <c r="IV11" s="6">
        <v>1.52300746711225</v>
      </c>
      <c r="IW11" s="6">
        <v>1.4606359963933</v>
      </c>
      <c r="IX11" s="6">
        <v>1.40824488093574</v>
      </c>
      <c r="IY11" s="6">
        <v>1.29780162811614</v>
      </c>
      <c r="IZ11" s="6">
        <v>1.38659180127389</v>
      </c>
      <c r="JA11" s="6">
        <v>1.44857421568593</v>
      </c>
      <c r="JB11" s="6">
        <v>1.5628302825735401</v>
      </c>
      <c r="JC11" s="6">
        <v>1.38895059719839</v>
      </c>
      <c r="JD11" s="6">
        <v>1.1842559796355301</v>
      </c>
      <c r="JE11" s="6">
        <v>1.2031663619524</v>
      </c>
      <c r="JF11" s="6">
        <v>1.4358411560697399</v>
      </c>
      <c r="JG11" s="6">
        <v>1.59782576904908</v>
      </c>
      <c r="JH11" s="6">
        <v>1.4286653920267101</v>
      </c>
      <c r="JI11" s="6">
        <v>1.5045141964000699</v>
      </c>
      <c r="JJ11" s="6">
        <v>1.1966590331512399</v>
      </c>
      <c r="JK11" s="6">
        <v>1.6515027107915301</v>
      </c>
      <c r="JL11" s="6">
        <v>1.5227793859824399</v>
      </c>
      <c r="JM11" s="6">
        <v>1.5819276669292901</v>
      </c>
      <c r="JN11" s="6">
        <v>1.8274033458871799</v>
      </c>
      <c r="JO11" s="6">
        <v>1.5707883756023</v>
      </c>
      <c r="JP11" s="6">
        <v>1.36415356621352</v>
      </c>
      <c r="JQ11" s="6">
        <v>1.5189360764856099</v>
      </c>
      <c r="JR11" s="6">
        <v>1.4317485993652801</v>
      </c>
      <c r="JS11" s="6">
        <v>1.2619300020344599</v>
      </c>
      <c r="JT11" s="6">
        <v>1.4203952154680699</v>
      </c>
      <c r="JU11" s="6">
        <v>1.1390245845004601</v>
      </c>
      <c r="JV11" s="6">
        <v>1.46920992135951</v>
      </c>
      <c r="JW11" s="6">
        <v>1.49142146156925</v>
      </c>
      <c r="JX11" s="6">
        <v>1.62217179276567</v>
      </c>
      <c r="JY11" s="6">
        <v>1.76044102818453</v>
      </c>
      <c r="JZ11" s="6">
        <v>1.51879939791508</v>
      </c>
      <c r="KA11" s="6">
        <v>1.4808036151153501</v>
      </c>
      <c r="KB11" s="6">
        <v>2.0507589897000198</v>
      </c>
      <c r="KC11" s="6">
        <v>1.4322760697788399</v>
      </c>
      <c r="KD11" s="6">
        <v>1.60257949259265</v>
      </c>
      <c r="KE11" s="6">
        <v>1.6823393128886499</v>
      </c>
      <c r="KF11" s="6">
        <v>1.3285537810774299</v>
      </c>
      <c r="KG11" s="6">
        <v>1.39049188714119</v>
      </c>
      <c r="KH11" s="6">
        <v>1.28485030952985</v>
      </c>
      <c r="KI11" s="6">
        <v>1.39276764808077</v>
      </c>
      <c r="KJ11" s="6">
        <v>1.3625883217166801</v>
      </c>
      <c r="KK11" s="6">
        <v>1.50791024711822</v>
      </c>
      <c r="KL11" s="6">
        <v>1.51193395123789</v>
      </c>
      <c r="KM11" s="6">
        <v>1.3946329294504201</v>
      </c>
      <c r="KN11" s="6">
        <v>1.4891129422501901</v>
      </c>
      <c r="KO11" s="6">
        <v>1.3005604325914599</v>
      </c>
      <c r="KP11" s="6">
        <v>1.428435292054</v>
      </c>
      <c r="KQ11" s="6">
        <v>1.92840464682811</v>
      </c>
      <c r="KR11" s="6">
        <v>1.51680808756254</v>
      </c>
      <c r="KS11" s="6">
        <v>1.61172103798438</v>
      </c>
      <c r="KT11" s="6">
        <v>1.55757109748179</v>
      </c>
      <c r="KU11" s="6">
        <v>2.0374269874772901</v>
      </c>
      <c r="KV11" s="6">
        <v>1.58960471983701</v>
      </c>
      <c r="KW11" s="6">
        <v>1.44812734630238</v>
      </c>
      <c r="KX11" s="6">
        <v>1.4649089684060399</v>
      </c>
      <c r="KY11" s="6">
        <v>1.3437914860137801</v>
      </c>
      <c r="KZ11" s="6">
        <v>1.1244504167508</v>
      </c>
      <c r="LA11" s="6">
        <v>1.6194742232466099</v>
      </c>
      <c r="LB11" s="6">
        <v>1.2512246171602299</v>
      </c>
      <c r="LC11" s="6">
        <v>1.6196386094012301</v>
      </c>
      <c r="LD11" s="6">
        <v>1.69139935095341</v>
      </c>
      <c r="LE11" s="6">
        <v>1.40226942366521</v>
      </c>
      <c r="LF11" s="6">
        <v>1.59132412939773</v>
      </c>
      <c r="LG11" s="6">
        <v>1.4913328251923701</v>
      </c>
      <c r="LH11" s="6">
        <v>1.6108672551532801</v>
      </c>
      <c r="LI11" s="6">
        <v>1.1171479339352901</v>
      </c>
      <c r="LJ11" s="6">
        <v>1.33187993539827</v>
      </c>
      <c r="LK11" s="6">
        <v>1.3940919575439401</v>
      </c>
      <c r="LL11" s="6">
        <v>1.72314527244813</v>
      </c>
      <c r="LM11" s="6">
        <v>1.50666006466792</v>
      </c>
      <c r="LN11" s="6">
        <v>1.4660189453880601</v>
      </c>
      <c r="LO11" s="6">
        <v>1.4631131064169201</v>
      </c>
      <c r="LP11" s="6">
        <v>1.5045690098675999</v>
      </c>
      <c r="LQ11" s="6">
        <v>1.643931870674</v>
      </c>
      <c r="LR11" s="6">
        <v>1.39944460729611</v>
      </c>
      <c r="LS11" s="6">
        <v>1.6597689020231401</v>
      </c>
      <c r="LT11" s="6">
        <v>1.43831714717922</v>
      </c>
      <c r="LU11" s="6">
        <v>1.9551237731637101</v>
      </c>
      <c r="LV11" s="6">
        <v>1.32696030878829</v>
      </c>
      <c r="LW11" s="6">
        <v>1.6026282605470099</v>
      </c>
      <c r="LX11" s="6">
        <v>1.4767491014633101</v>
      </c>
      <c r="LY11" s="6">
        <v>1.3203190671362699</v>
      </c>
      <c r="LZ11" s="6">
        <v>1.34287380358956</v>
      </c>
      <c r="MA11" s="6">
        <v>1.43791228190322</v>
      </c>
      <c r="MB11" s="6">
        <v>1.6351360021253201</v>
      </c>
      <c r="MC11" s="6">
        <v>1.3806981922928501</v>
      </c>
      <c r="MD11" s="6">
        <v>1.32351471983625</v>
      </c>
      <c r="ME11" s="6">
        <v>1.2705442724840299</v>
      </c>
      <c r="MF11" s="6">
        <v>1.2866978645264699</v>
      </c>
      <c r="MG11" s="6">
        <v>1.2861512455437001</v>
      </c>
      <c r="MH11" s="6">
        <v>1.3018520871533401</v>
      </c>
      <c r="MI11" s="6">
        <v>1.40872578598915</v>
      </c>
      <c r="MJ11" s="6">
        <v>1.25375425415076</v>
      </c>
      <c r="MK11" s="6">
        <v>1.44590056561827</v>
      </c>
      <c r="ML11" s="6">
        <v>1.31665634118816</v>
      </c>
      <c r="MM11" s="6">
        <v>1.3051925166087699</v>
      </c>
      <c r="MN11" s="6">
        <v>1.1879128549803399</v>
      </c>
      <c r="MO11" s="6">
        <v>1.43069721816465</v>
      </c>
      <c r="MP11" s="6">
        <v>1.41744331031135</v>
      </c>
      <c r="MQ11" s="6">
        <v>1.57426575579405</v>
      </c>
      <c r="MR11" s="6">
        <v>1.52226552211485</v>
      </c>
      <c r="MS11" s="6">
        <v>1.2825118528213899</v>
      </c>
      <c r="MT11" s="6">
        <v>1.66357062040701</v>
      </c>
      <c r="MU11" s="6">
        <v>1.22580360259232</v>
      </c>
      <c r="MV11" s="6">
        <v>1.3283308596660801</v>
      </c>
      <c r="MW11" s="6">
        <v>1.42171376740689</v>
      </c>
      <c r="MX11" s="6">
        <v>1.7959891713342</v>
      </c>
      <c r="MY11" s="6">
        <v>1.3671643392533199</v>
      </c>
      <c r="MZ11" s="6">
        <v>1.8332534910285301</v>
      </c>
      <c r="NA11" s="6">
        <v>1.3022962766441799</v>
      </c>
      <c r="NB11" s="6">
        <v>1.88359816593175</v>
      </c>
      <c r="NC11" s="6">
        <v>1.5719652144785401</v>
      </c>
      <c r="ND11" s="6">
        <v>1.44048797336783</v>
      </c>
      <c r="NE11" s="6">
        <v>1.6700647039224501</v>
      </c>
      <c r="NF11" s="6">
        <v>1.2041175252871801</v>
      </c>
      <c r="NG11" s="6">
        <v>1.50770941234675</v>
      </c>
      <c r="NH11" s="6">
        <v>1.60202911420309</v>
      </c>
      <c r="NI11" s="6">
        <v>1.3423846388386</v>
      </c>
      <c r="NJ11" s="6">
        <v>1.5949960991521701</v>
      </c>
      <c r="NK11" s="6">
        <v>1.38855150691643</v>
      </c>
      <c r="NL11" s="6">
        <v>1.56170660519513</v>
      </c>
      <c r="NM11" s="6">
        <v>1.39225894880704</v>
      </c>
      <c r="NN11" s="6">
        <v>1.51935603178073</v>
      </c>
      <c r="NO11" s="6">
        <v>1.47257516145668</v>
      </c>
      <c r="NP11" s="6">
        <v>1.51194393052444</v>
      </c>
      <c r="NQ11" s="6">
        <v>1.6030279583379501</v>
      </c>
      <c r="NR11" s="6">
        <v>1.76028469742605</v>
      </c>
      <c r="NS11" s="6">
        <v>1.4599475994587401</v>
      </c>
      <c r="NT11" s="6">
        <v>1.48548207476912</v>
      </c>
      <c r="NU11" s="6">
        <v>1.5326042054228599</v>
      </c>
      <c r="NV11" s="6">
        <v>1.43725456420068</v>
      </c>
      <c r="NW11" s="6">
        <v>1.63297174435058</v>
      </c>
      <c r="NX11" s="6">
        <v>1.7652949450912701</v>
      </c>
      <c r="NY11" s="6">
        <v>1.7476920708033199</v>
      </c>
      <c r="NZ11" s="6">
        <v>1.4059080761328799</v>
      </c>
      <c r="OA11" s="6">
        <v>1.3256999940744301</v>
      </c>
      <c r="OB11" s="6">
        <v>1.16992079457402</v>
      </c>
      <c r="OC11" s="6">
        <v>1.84237870732049</v>
      </c>
      <c r="OD11" s="6">
        <v>1.4091736269927799</v>
      </c>
      <c r="OE11" s="6">
        <v>1.19832708451085</v>
      </c>
      <c r="OF11" s="6">
        <v>1.43504635476256</v>
      </c>
      <c r="OG11" s="6">
        <v>1.4797826812970101</v>
      </c>
      <c r="OH11" s="6">
        <v>1.38412952251988</v>
      </c>
      <c r="OI11" s="6">
        <v>1.4613574086514201</v>
      </c>
      <c r="OJ11" s="6">
        <v>1.2170454028211199</v>
      </c>
      <c r="OK11" s="6">
        <v>1.2566746777968001</v>
      </c>
      <c r="OL11" s="6">
        <v>1.59781406515459</v>
      </c>
      <c r="OM11" s="6">
        <v>1.6469322928812899</v>
      </c>
      <c r="ON11" s="6">
        <v>1.5743499109896799</v>
      </c>
      <c r="OO11" s="6">
        <v>1.5480213044459299</v>
      </c>
      <c r="OP11" s="6">
        <v>1.2447592916711301</v>
      </c>
      <c r="OQ11" s="6">
        <v>1.76020839940741</v>
      </c>
      <c r="OR11" s="6">
        <v>1.4373807787256101</v>
      </c>
      <c r="OS11" s="6">
        <v>1.6302621343461301</v>
      </c>
      <c r="OT11" s="6">
        <v>1.3785203278523499</v>
      </c>
      <c r="OU11" s="6">
        <v>1.4563181891616701</v>
      </c>
      <c r="OV11" s="6">
        <v>1.38338576431972</v>
      </c>
      <c r="OW11" s="6">
        <v>1.9959771037376599</v>
      </c>
      <c r="OX11" s="6">
        <v>1.7744405090441799</v>
      </c>
      <c r="OY11" s="6">
        <v>1.6278776092741001</v>
      </c>
      <c r="OZ11" s="6">
        <v>1.2095918810048301</v>
      </c>
      <c r="PA11" s="6">
        <v>1.51429915936935</v>
      </c>
      <c r="PB11" s="6">
        <v>1.4989629327113301</v>
      </c>
      <c r="PC11" s="6">
        <v>1.6464757149923299</v>
      </c>
      <c r="PD11" s="6">
        <v>1.84165170660857</v>
      </c>
      <c r="PE11" s="6">
        <v>1.75215122663928</v>
      </c>
      <c r="PF11" s="6">
        <v>1.6080865210370101</v>
      </c>
      <c r="PG11" s="6">
        <v>1.5923904026396301</v>
      </c>
      <c r="PH11" s="6">
        <v>1.4605961354041099</v>
      </c>
      <c r="PI11" s="6">
        <v>1.2305308995368001</v>
      </c>
      <c r="PJ11" s="6">
        <v>1.4942614293816401</v>
      </c>
      <c r="PK11" s="6">
        <v>2.10252508512301</v>
      </c>
      <c r="PL11" s="6">
        <v>1.3114083933827301</v>
      </c>
      <c r="PM11" s="6">
        <v>1.82925276566852</v>
      </c>
      <c r="PN11" s="6">
        <v>1.11346538849125</v>
      </c>
      <c r="PO11" s="6">
        <v>1.31541974335492</v>
      </c>
      <c r="PP11" s="6">
        <v>1.42001277362733</v>
      </c>
      <c r="PQ11" s="6">
        <v>1.4511535971546401</v>
      </c>
      <c r="PR11" s="6">
        <v>1.1221446582019701</v>
      </c>
      <c r="PS11" s="6">
        <v>1.3982431912327999</v>
      </c>
      <c r="PT11" s="6">
        <v>1.58612847911601</v>
      </c>
      <c r="PU11" s="6">
        <v>1.5195549583589201</v>
      </c>
      <c r="PV11" s="6">
        <v>1.6680000797380401</v>
      </c>
      <c r="PW11" s="6">
        <v>1.48932623160528</v>
      </c>
      <c r="PX11" s="6">
        <v>1.50860056854154</v>
      </c>
      <c r="PY11" s="6">
        <v>1.5570902527644199</v>
      </c>
      <c r="PZ11" s="6">
        <v>1.5218418016535</v>
      </c>
      <c r="QA11" s="6">
        <v>1.3213370716947801</v>
      </c>
      <c r="QB11" s="6">
        <v>1.4854751839740401</v>
      </c>
      <c r="QC11" s="6">
        <v>1.50775133112459</v>
      </c>
      <c r="QD11" s="6">
        <v>1.6794655942357599</v>
      </c>
      <c r="QE11" s="6">
        <v>1.3619154104109801</v>
      </c>
      <c r="QF11" s="6">
        <v>1.31146274674606</v>
      </c>
      <c r="QG11" s="6">
        <v>1.2829726512681201</v>
      </c>
      <c r="QH11" s="6">
        <v>1.52466986809159</v>
      </c>
      <c r="QI11" s="6">
        <v>1.4436323552711501</v>
      </c>
      <c r="QJ11" s="6">
        <v>1.7368932832858699</v>
      </c>
      <c r="QK11" s="6">
        <v>1.34489008362665</v>
      </c>
      <c r="QL11" s="6">
        <v>1.85038316572946</v>
      </c>
      <c r="QM11" s="6">
        <v>1.3128742286444499</v>
      </c>
      <c r="QN11" s="6">
        <v>1.3680096094543599</v>
      </c>
      <c r="QO11" s="6">
        <v>1.6222261481709399</v>
      </c>
      <c r="QP11" s="6">
        <v>1.45624109156879</v>
      </c>
      <c r="QQ11" s="6">
        <v>1.48977207788207</v>
      </c>
      <c r="QR11" s="6">
        <v>1.51882826885843</v>
      </c>
      <c r="QS11" s="6">
        <v>1.79487690860923</v>
      </c>
      <c r="QT11" s="6">
        <v>1.4614494401617399</v>
      </c>
      <c r="QU11" s="6">
        <v>1.6308533322938801</v>
      </c>
      <c r="QV11" s="6">
        <v>1.45931267418498</v>
      </c>
      <c r="QW11" s="6">
        <v>1.4305263344858301</v>
      </c>
      <c r="QX11" s="6">
        <v>1.64478928143727</v>
      </c>
      <c r="QY11" s="6">
        <v>1.47976278066948</v>
      </c>
      <c r="QZ11" s="6">
        <v>1.45965531845625</v>
      </c>
      <c r="RA11" s="6">
        <v>1.2985945929749101</v>
      </c>
      <c r="RB11" s="6">
        <v>1.63100989584958</v>
      </c>
      <c r="RC11" s="6">
        <v>1.8164305225627999</v>
      </c>
      <c r="RD11" s="6">
        <v>1.6089411489330701</v>
      </c>
      <c r="RE11" s="6">
        <v>1.6672143168351701</v>
      </c>
      <c r="RF11" s="6">
        <v>1.44442453085016</v>
      </c>
      <c r="RG11" s="6">
        <v>1.4134746345354401</v>
      </c>
      <c r="RH11" s="6">
        <v>2.1313980458572801</v>
      </c>
      <c r="RI11" s="6">
        <v>1.35422330404142</v>
      </c>
      <c r="RJ11" s="6">
        <v>1.5024294733011301</v>
      </c>
      <c r="RK11" s="6">
        <v>1.5006193748282299</v>
      </c>
      <c r="RL11" s="6">
        <v>1.2365741033615401</v>
      </c>
      <c r="RM11" s="6">
        <v>1.3312370165212899</v>
      </c>
      <c r="RN11" s="6">
        <v>1.4013673478931301</v>
      </c>
      <c r="RO11" s="6">
        <v>1.31204954468171</v>
      </c>
      <c r="RP11" s="6">
        <v>1.29500224977972</v>
      </c>
      <c r="RQ11" s="6">
        <v>1.7573439463292899</v>
      </c>
      <c r="RR11" s="6">
        <v>1.3602132531425899</v>
      </c>
      <c r="RS11" s="6">
        <v>1.5217261297036599</v>
      </c>
      <c r="RT11" s="6">
        <v>1.5711387853048999</v>
      </c>
      <c r="RU11" s="6">
        <v>1.1601169062382799</v>
      </c>
      <c r="RV11" s="6">
        <v>2.16637385850759</v>
      </c>
      <c r="RW11" s="6">
        <v>1.4425706515182299</v>
      </c>
      <c r="RX11" s="6">
        <v>1.65300643575453</v>
      </c>
      <c r="RY11" s="6">
        <v>1.8594044619297101</v>
      </c>
      <c r="RZ11" s="6">
        <v>1.3884585547710599</v>
      </c>
      <c r="SA11" s="6">
        <v>1.44662206278378</v>
      </c>
      <c r="SB11" s="6">
        <v>1.69391145850217</v>
      </c>
      <c r="SC11" s="6">
        <v>1.31719694946689</v>
      </c>
      <c r="SD11" s="6">
        <v>1.3574083223780899</v>
      </c>
      <c r="SE11" s="6">
        <v>1.8005041128122601</v>
      </c>
      <c r="SF11" s="6">
        <v>1.3105451419287399</v>
      </c>
      <c r="SG11" s="6">
        <v>1.4840956860201899</v>
      </c>
      <c r="SH11" s="6">
        <v>1.49046287235834</v>
      </c>
      <c r="SI11" s="6">
        <v>1.5023427452901399</v>
      </c>
      <c r="SJ11" s="6">
        <v>1.5662783417426001</v>
      </c>
      <c r="SK11" s="6">
        <v>1.25321009257953</v>
      </c>
      <c r="SL11" s="6">
        <v>1.2242929919621901</v>
      </c>
      <c r="SM11" s="6">
        <v>1.3651295983373199</v>
      </c>
      <c r="SN11" s="6">
        <v>1.3489175715830299</v>
      </c>
      <c r="SO11" s="6">
        <v>1.23048223100787</v>
      </c>
      <c r="SP11" s="6">
        <v>1.70284677229811</v>
      </c>
      <c r="SQ11" s="6">
        <v>1.3848647087817401</v>
      </c>
      <c r="SR11" s="6">
        <v>1.2564263631334101</v>
      </c>
      <c r="SS11" s="6">
        <v>1.5786610363310201</v>
      </c>
      <c r="ST11" s="6">
        <v>1.1923461443241901</v>
      </c>
      <c r="SU11" s="6">
        <v>1.8842342022588301</v>
      </c>
      <c r="SV11" s="6">
        <v>1.15987924448789</v>
      </c>
      <c r="SW11" s="6">
        <v>1.4896693586775001</v>
      </c>
      <c r="SX11" s="6">
        <v>1.25826629249545</v>
      </c>
      <c r="SY11" s="6">
        <v>1.60776018822732</v>
      </c>
      <c r="SZ11" s="6">
        <v>1.48626097242887</v>
      </c>
      <c r="TA11" s="6">
        <v>1.6088066659279101</v>
      </c>
      <c r="TB11" s="6">
        <v>1.40739605781641</v>
      </c>
      <c r="TC11" s="6">
        <v>1.3495200175527999</v>
      </c>
      <c r="TD11" s="6">
        <v>1.67546040127455</v>
      </c>
      <c r="TE11" s="6">
        <v>1.24130139656379</v>
      </c>
      <c r="TF11" s="6">
        <v>1.4887541005543901</v>
      </c>
      <c r="TG11" s="6">
        <v>1.4824967753327301</v>
      </c>
      <c r="TH11" s="6">
        <v>1.2605391614168699</v>
      </c>
      <c r="TI11" s="6">
        <v>1.3432633845365101</v>
      </c>
      <c r="TJ11" s="6">
        <v>1.37258326983785</v>
      </c>
      <c r="TK11" s="6">
        <v>1.40926157473467</v>
      </c>
      <c r="TL11" s="6">
        <v>1.23445734102849</v>
      </c>
      <c r="TM11" s="6">
        <v>1.55609958947863</v>
      </c>
      <c r="TN11" s="6">
        <v>1.2696413123570001</v>
      </c>
      <c r="TO11" s="6">
        <v>1.72758796651335</v>
      </c>
      <c r="TP11" s="6">
        <v>1.59201776218198</v>
      </c>
      <c r="TQ11" s="6">
        <v>1.3995821390788901</v>
      </c>
    </row>
    <row r="12" spans="1:537" x14ac:dyDescent="0.3">
      <c r="A12" s="28"/>
      <c r="B12" s="28"/>
      <c r="C12" s="28"/>
      <c r="D12" s="28"/>
      <c r="E12" s="14"/>
      <c r="F12" s="14"/>
      <c r="H12" s="19" t="s">
        <v>80</v>
      </c>
      <c r="I12" s="19" t="s">
        <v>10</v>
      </c>
      <c r="J12" s="26">
        <f t="shared" si="5"/>
        <v>1.4197445242275977E-2</v>
      </c>
      <c r="K12" s="20">
        <v>0.41014931589999998</v>
      </c>
      <c r="L12" s="5"/>
      <c r="M12" s="19" t="s">
        <v>80</v>
      </c>
      <c r="N12" s="19" t="s">
        <v>10</v>
      </c>
      <c r="O12" s="26">
        <f t="shared" si="6"/>
        <v>1.3928043618847492E-2</v>
      </c>
      <c r="P12" s="20">
        <f t="shared" si="7"/>
        <v>0.35320363950488942</v>
      </c>
      <c r="Q12" s="5"/>
      <c r="R12" s="19" t="s">
        <v>80</v>
      </c>
      <c r="S12" s="19" t="s">
        <v>10</v>
      </c>
      <c r="T12" s="26">
        <f t="shared" si="8"/>
        <v>1.3956168855061847E-2</v>
      </c>
      <c r="U12" s="20">
        <f t="shared" si="9"/>
        <v>0.47389407268790151</v>
      </c>
      <c r="AF12" s="1" t="s">
        <v>86</v>
      </c>
      <c r="AG12" s="15">
        <f t="shared" si="0"/>
        <v>0.2221667607835151</v>
      </c>
      <c r="AH12" s="16">
        <f t="shared" si="1"/>
        <v>0.25483551625685469</v>
      </c>
      <c r="AI12" s="1">
        <f t="shared" si="2"/>
        <v>1.5446716258421267</v>
      </c>
      <c r="AJ12" s="6">
        <f t="shared" si="3"/>
        <v>1.2014969342545756</v>
      </c>
      <c r="AK12" s="17">
        <f t="shared" si="4"/>
        <v>1.9383088170609202</v>
      </c>
      <c r="AL12" s="1">
        <v>1.58462224442583</v>
      </c>
      <c r="AM12" s="1">
        <v>1.4070949928127101</v>
      </c>
      <c r="AN12" s="1">
        <v>1.6431261525121901</v>
      </c>
      <c r="AO12" s="6">
        <v>1.6867128974791501</v>
      </c>
      <c r="AP12" s="6">
        <v>1.41591788570821</v>
      </c>
      <c r="AQ12" s="6">
        <v>1.22533431065376</v>
      </c>
      <c r="AR12" s="6">
        <v>1.3162491417209901</v>
      </c>
      <c r="AS12" s="6">
        <v>1.4274802640250599</v>
      </c>
      <c r="AT12" s="6">
        <v>1.8069509087178801</v>
      </c>
      <c r="AU12" s="6">
        <v>1.56293284446711</v>
      </c>
      <c r="AV12" s="6">
        <v>2.1786539699568501</v>
      </c>
      <c r="AW12" s="6">
        <v>1.7020980325577499</v>
      </c>
      <c r="AX12" s="6">
        <v>1.37570813226968</v>
      </c>
      <c r="AY12" s="6">
        <v>1.76197461560304</v>
      </c>
      <c r="AZ12" s="6">
        <v>1.9379667537009899</v>
      </c>
      <c r="BA12" s="6">
        <v>1.3714818322675</v>
      </c>
      <c r="BB12" s="6">
        <v>1.3998363493986401</v>
      </c>
      <c r="BC12" s="6">
        <v>1.44080287343969</v>
      </c>
      <c r="BD12" s="6">
        <v>1.3575401922252901</v>
      </c>
      <c r="BE12" s="6">
        <v>1.5081387163472499</v>
      </c>
      <c r="BF12" s="6">
        <v>1.7684519405896799</v>
      </c>
      <c r="BG12" s="6">
        <v>1.3821822868958999</v>
      </c>
      <c r="BH12" s="6">
        <v>1.9772469239838</v>
      </c>
      <c r="BI12" s="6">
        <v>1.81531055979047</v>
      </c>
      <c r="BJ12" s="6">
        <v>1.45776129299377</v>
      </c>
      <c r="BK12" s="6">
        <v>1.4040861404215901</v>
      </c>
      <c r="BL12" s="6">
        <v>1.4121464858519399</v>
      </c>
      <c r="BM12" s="6">
        <v>1.6734878255244801</v>
      </c>
      <c r="BN12" s="6">
        <v>1.2411973336752</v>
      </c>
      <c r="BO12" s="6">
        <v>1.34936170866011</v>
      </c>
      <c r="BP12" s="6">
        <v>1.4058203034380501</v>
      </c>
      <c r="BQ12" s="6">
        <v>1.3190177978738999</v>
      </c>
      <c r="BR12" s="6">
        <v>1.51773958695989</v>
      </c>
      <c r="BS12" s="6">
        <v>1.37517756792192</v>
      </c>
      <c r="BT12" s="6">
        <v>1.8278734858422201</v>
      </c>
      <c r="BU12" s="6">
        <v>1.4406808103654201</v>
      </c>
      <c r="BV12" s="6">
        <v>1.5518889705368499</v>
      </c>
      <c r="BW12" s="6">
        <v>1.6720846607848801</v>
      </c>
      <c r="BX12" s="6">
        <v>1.4911658914083601</v>
      </c>
      <c r="BY12" s="6">
        <v>1.3664716892320301</v>
      </c>
      <c r="BZ12" s="6">
        <v>1.31881945771701</v>
      </c>
      <c r="CA12" s="6">
        <v>1.65458200143377</v>
      </c>
      <c r="CB12" s="6">
        <v>1.40211407589996</v>
      </c>
      <c r="CC12" s="6">
        <v>1.47561898485839</v>
      </c>
      <c r="CD12" s="6">
        <v>1.8637061424452099</v>
      </c>
      <c r="CE12" s="6">
        <v>1.8849969065269201</v>
      </c>
      <c r="CF12" s="6">
        <v>1.55815658254511</v>
      </c>
      <c r="CG12" s="6">
        <v>1.21671920235197</v>
      </c>
      <c r="CH12" s="6">
        <v>1.5018891631851801</v>
      </c>
      <c r="CI12" s="6">
        <v>1.6223513295365</v>
      </c>
      <c r="CJ12" s="6">
        <v>1.4470564136464099</v>
      </c>
      <c r="CK12" s="6">
        <v>1.71660375927896</v>
      </c>
      <c r="CL12" s="6">
        <v>1.62583355360885</v>
      </c>
      <c r="CM12" s="6">
        <v>2.1155273777214298</v>
      </c>
      <c r="CN12" s="6">
        <v>1.5916616736326701</v>
      </c>
      <c r="CO12" s="6">
        <v>2.0407037177969198</v>
      </c>
      <c r="CP12" s="6">
        <v>1.27695351941242</v>
      </c>
      <c r="CQ12" s="6">
        <v>1.4032885666124899</v>
      </c>
      <c r="CR12" s="6">
        <v>1.5294900843058901</v>
      </c>
      <c r="CS12" s="6">
        <v>1.1876132929471801</v>
      </c>
      <c r="CT12" s="6">
        <v>1.4161406068120399</v>
      </c>
      <c r="CU12" s="6">
        <v>1.6997889702931499</v>
      </c>
      <c r="CV12" s="6">
        <v>1.61264342780264</v>
      </c>
      <c r="CW12" s="6">
        <v>1.3833717149770299</v>
      </c>
      <c r="CX12" s="6">
        <v>1.55561792392847</v>
      </c>
      <c r="CY12" s="6">
        <v>1.16549526577685</v>
      </c>
      <c r="CZ12" s="6">
        <v>1.07926772594594</v>
      </c>
      <c r="DA12" s="6">
        <v>1.9034870180585699</v>
      </c>
      <c r="DB12" s="6">
        <v>1.88758097227368</v>
      </c>
      <c r="DC12" s="6">
        <v>1.35014836027936</v>
      </c>
      <c r="DD12" s="6">
        <v>1.8834324545418299</v>
      </c>
      <c r="DE12" s="6">
        <v>1.9448080208995999</v>
      </c>
      <c r="DF12" s="6">
        <v>1.6768869485917299</v>
      </c>
      <c r="DG12" s="6">
        <v>1.49397965271277</v>
      </c>
      <c r="DH12" s="6">
        <v>1.4882002673430199</v>
      </c>
      <c r="DI12" s="6">
        <v>1.1951995236892601</v>
      </c>
      <c r="DJ12" s="6">
        <v>1.6837511634763001</v>
      </c>
      <c r="DK12" s="6">
        <v>1.34239582987365</v>
      </c>
      <c r="DL12" s="6">
        <v>1.9168716028494801</v>
      </c>
      <c r="DM12" s="6">
        <v>1.4167229004931701</v>
      </c>
      <c r="DN12" s="6">
        <v>1.72026655262482</v>
      </c>
      <c r="DO12" s="6">
        <v>1.30165470538147</v>
      </c>
      <c r="DP12" s="6">
        <v>1.2022376437129301</v>
      </c>
      <c r="DQ12" s="6">
        <v>1.22780675295425</v>
      </c>
      <c r="DR12" s="6">
        <v>1.46424705115676</v>
      </c>
      <c r="DS12" s="6">
        <v>1.5776589075307199</v>
      </c>
      <c r="DT12" s="6">
        <v>1.5102498528689301</v>
      </c>
      <c r="DU12" s="6">
        <v>1.3346308584933599</v>
      </c>
      <c r="DV12" s="6">
        <v>1.6675618875487801</v>
      </c>
      <c r="DW12" s="6">
        <v>1.53230856946918</v>
      </c>
      <c r="DX12" s="6">
        <v>2.05570405293206</v>
      </c>
      <c r="DY12" s="6">
        <v>1.4095919820704399</v>
      </c>
      <c r="DZ12" s="6">
        <v>1.85662796363555</v>
      </c>
      <c r="EA12" s="6">
        <v>1.3970834684434399</v>
      </c>
      <c r="EB12" s="6">
        <v>1.6005553836584501</v>
      </c>
      <c r="EC12" s="6">
        <v>1.75145721960751</v>
      </c>
      <c r="ED12" s="6">
        <v>1.50800899229465</v>
      </c>
      <c r="EE12" s="6">
        <v>1.8374596972983701</v>
      </c>
      <c r="EF12" s="6">
        <v>1.44665637066852</v>
      </c>
      <c r="EG12" s="6">
        <v>1.4587798572772599</v>
      </c>
      <c r="EH12" s="6">
        <v>1.2506786208795999</v>
      </c>
      <c r="EI12" s="6">
        <v>2.0238127795723599</v>
      </c>
      <c r="EJ12" s="6">
        <v>1.6667459760173</v>
      </c>
      <c r="EK12" s="6">
        <v>1.8164345899405601</v>
      </c>
      <c r="EL12" s="6">
        <v>1.26235395398887</v>
      </c>
      <c r="EM12" s="6">
        <v>1.9167347897970499</v>
      </c>
      <c r="EN12" s="6">
        <v>1.7494790248040399</v>
      </c>
      <c r="EO12" s="6">
        <v>1.3060822424106899</v>
      </c>
      <c r="EP12" s="6">
        <v>1.3219994324676501</v>
      </c>
      <c r="EQ12" s="6">
        <v>1.3812748112178801</v>
      </c>
      <c r="ER12" s="6">
        <v>1.7647964815155299</v>
      </c>
      <c r="ES12" s="6">
        <v>1.42691167554022</v>
      </c>
      <c r="ET12" s="6">
        <v>1.57958815954122</v>
      </c>
      <c r="EU12" s="6">
        <v>1.4281571033361899</v>
      </c>
      <c r="EV12" s="6">
        <v>1.33894845219014</v>
      </c>
      <c r="EW12" s="6">
        <v>1.52860559439896</v>
      </c>
      <c r="EX12" s="6">
        <v>1.3608257506352399</v>
      </c>
      <c r="EY12" s="6">
        <v>1.5536743893106699</v>
      </c>
      <c r="EZ12" s="6">
        <v>1.29719910349068</v>
      </c>
      <c r="FA12" s="6">
        <v>1.6516241940290599</v>
      </c>
      <c r="FB12" s="6">
        <v>1.34482890295863</v>
      </c>
      <c r="FC12" s="6">
        <v>1.50998793479039</v>
      </c>
      <c r="FD12" s="6">
        <v>1.7754565627480901</v>
      </c>
      <c r="FE12" s="6">
        <v>1.78612021769552</v>
      </c>
      <c r="FF12" s="6">
        <v>1.4376651179491799</v>
      </c>
      <c r="FG12" s="6">
        <v>1.5975428713605699</v>
      </c>
      <c r="FH12" s="6">
        <v>2.0815363842986399</v>
      </c>
      <c r="FI12" s="6">
        <v>1.46222420931111</v>
      </c>
      <c r="FJ12" s="6">
        <v>1.33011595114481</v>
      </c>
      <c r="FK12" s="6">
        <v>1.55908930579466</v>
      </c>
      <c r="FL12" s="6">
        <v>1.5395652325429501</v>
      </c>
      <c r="FM12" s="6">
        <v>1.44602207540712</v>
      </c>
      <c r="FN12" s="6">
        <v>1.30364935789182</v>
      </c>
      <c r="FO12" s="6">
        <v>1.55333731181724</v>
      </c>
      <c r="FP12" s="6">
        <v>1.38886599595232</v>
      </c>
      <c r="FQ12" s="6">
        <v>1.6087191657313999</v>
      </c>
      <c r="FR12" s="6">
        <v>1.89726870709339</v>
      </c>
      <c r="FS12" s="6">
        <v>1.6093093975378401</v>
      </c>
      <c r="FT12" s="6">
        <v>1.59406492840713</v>
      </c>
      <c r="FU12" s="6">
        <v>1.18750052976765</v>
      </c>
      <c r="FV12" s="6">
        <v>1.7223210738152099</v>
      </c>
      <c r="FW12" s="6">
        <v>1.4883273405455899</v>
      </c>
      <c r="FX12" s="6">
        <v>1.61061598179145</v>
      </c>
      <c r="FY12" s="6">
        <v>1.52209663043461</v>
      </c>
      <c r="FZ12" s="6">
        <v>1.4626264367685899</v>
      </c>
      <c r="GA12" s="6">
        <v>1.3734965448130401</v>
      </c>
      <c r="GB12" s="6">
        <v>1.53770946095025</v>
      </c>
      <c r="GC12" s="6">
        <v>1.4512098072300701</v>
      </c>
      <c r="GD12" s="6">
        <v>1.65232722072518</v>
      </c>
      <c r="GE12" s="6">
        <v>1.4979979483446799</v>
      </c>
      <c r="GF12" s="6">
        <v>1.6670162884945301</v>
      </c>
      <c r="GG12" s="6">
        <v>1.34130519807937</v>
      </c>
      <c r="GH12" s="6">
        <v>1.46880765050789</v>
      </c>
      <c r="GI12" s="6">
        <v>1.5917936452800401</v>
      </c>
      <c r="GJ12" s="6">
        <v>1.4282783767185701</v>
      </c>
      <c r="GK12" s="6">
        <v>1.7060273762565801</v>
      </c>
      <c r="GL12" s="6">
        <v>1.3049233033280201</v>
      </c>
      <c r="GM12" s="6">
        <v>1.2141616489614999</v>
      </c>
      <c r="GN12" s="6">
        <v>1.6219104221131999</v>
      </c>
      <c r="GO12" s="6">
        <v>1.27721051913782</v>
      </c>
      <c r="GP12" s="6">
        <v>1.27246415277615</v>
      </c>
      <c r="GQ12" s="6">
        <v>1.38366963231277</v>
      </c>
      <c r="GR12" s="6">
        <v>1.92849118203021</v>
      </c>
      <c r="GS12" s="6">
        <v>1.53955871075434</v>
      </c>
      <c r="GT12" s="6">
        <v>1.26526707780904</v>
      </c>
      <c r="GU12" s="6">
        <v>1.3603306391927199</v>
      </c>
      <c r="GV12" s="6">
        <v>1.8662253228239001</v>
      </c>
      <c r="GW12" s="6">
        <v>1.5733318189030201</v>
      </c>
      <c r="GX12" s="6">
        <v>1.3563973506851099</v>
      </c>
      <c r="GY12" s="6">
        <v>1.93147578941571</v>
      </c>
      <c r="GZ12" s="6">
        <v>1.44365106004321</v>
      </c>
      <c r="HA12" s="6">
        <v>1.88445636708899</v>
      </c>
      <c r="HB12" s="6">
        <v>1.45275524890301</v>
      </c>
      <c r="HC12" s="6">
        <v>2.1066830893177899</v>
      </c>
      <c r="HD12" s="6">
        <v>1.6296226435322601</v>
      </c>
      <c r="HE12" s="6">
        <v>2.07177784036395</v>
      </c>
      <c r="HF12" s="6">
        <v>1.87532122129709</v>
      </c>
      <c r="HG12" s="6">
        <v>1.5484915172467</v>
      </c>
      <c r="HH12" s="6">
        <v>2.3458253765892199</v>
      </c>
      <c r="HI12" s="6">
        <v>1.25793939545246</v>
      </c>
      <c r="HJ12" s="6">
        <v>1.23098073630039</v>
      </c>
      <c r="HK12" s="6">
        <v>1.53504561569535</v>
      </c>
      <c r="HL12" s="6">
        <v>1.62384087468607</v>
      </c>
      <c r="HM12" s="6">
        <v>1.37255954077862</v>
      </c>
      <c r="HN12" s="6">
        <v>1.6548400775449901</v>
      </c>
      <c r="HO12" s="6">
        <v>1.56415060096745</v>
      </c>
      <c r="HP12" s="6">
        <v>1.57160588270742</v>
      </c>
      <c r="HQ12" s="6">
        <v>1.7306279858607101</v>
      </c>
      <c r="HR12" s="6">
        <v>2.3711119962538301</v>
      </c>
      <c r="HS12" s="6">
        <v>1.43450866913329</v>
      </c>
      <c r="HT12" s="6">
        <v>1.1904477361576999</v>
      </c>
      <c r="HU12" s="6">
        <v>1.2385969678464399</v>
      </c>
      <c r="HV12" s="6">
        <v>1.69770447880832</v>
      </c>
      <c r="HW12" s="6">
        <v>1.09766220134881</v>
      </c>
      <c r="HX12" s="6">
        <v>1.5123701710333599</v>
      </c>
      <c r="HY12" s="6">
        <v>1.6721075079607399</v>
      </c>
      <c r="HZ12" s="6">
        <v>1.2621568457547601</v>
      </c>
      <c r="IA12" s="6">
        <v>1.61738018708326</v>
      </c>
      <c r="IB12" s="6">
        <v>1.45036900658651</v>
      </c>
      <c r="IC12" s="6">
        <v>1.32322060898421</v>
      </c>
      <c r="ID12" s="6">
        <v>1.4748360626342301</v>
      </c>
      <c r="IE12" s="6">
        <v>1.3881100369417101</v>
      </c>
      <c r="IF12" s="6">
        <v>1.8031541110865901</v>
      </c>
      <c r="IG12" s="6">
        <v>1.6577270505369901</v>
      </c>
      <c r="IH12" s="6">
        <v>1.5910061492529299</v>
      </c>
      <c r="II12" s="6">
        <v>1.517571438724</v>
      </c>
      <c r="IJ12" s="6">
        <v>1.5324469504642</v>
      </c>
      <c r="IK12" s="6">
        <v>1.8638977704823101</v>
      </c>
      <c r="IL12" s="6">
        <v>1.2755077854549901</v>
      </c>
      <c r="IM12" s="6">
        <v>1.5208082243513199</v>
      </c>
      <c r="IN12" s="6">
        <v>1.32912758134678</v>
      </c>
      <c r="IO12" s="6">
        <v>1.4092687703595099</v>
      </c>
      <c r="IP12" s="6">
        <v>1.5121612746073401</v>
      </c>
      <c r="IQ12" s="6">
        <v>1.57684809034689</v>
      </c>
      <c r="IR12" s="6">
        <v>1.2393761793599001</v>
      </c>
      <c r="IS12" s="6">
        <v>1.51512093835273</v>
      </c>
      <c r="IT12" s="6">
        <v>1.48769566507518</v>
      </c>
      <c r="IU12" s="6">
        <v>1.6925604847282201</v>
      </c>
      <c r="IV12" s="6">
        <v>1.61599305275157</v>
      </c>
      <c r="IW12" s="6">
        <v>1.5073549258711101</v>
      </c>
      <c r="IX12" s="6">
        <v>1.2516338056762299</v>
      </c>
      <c r="IY12" s="6">
        <v>1.76922208148273</v>
      </c>
      <c r="IZ12" s="6">
        <v>1.3286477813028701</v>
      </c>
      <c r="JA12" s="6">
        <v>1.9349483184224501</v>
      </c>
      <c r="JB12" s="6">
        <v>1.7548774196316801</v>
      </c>
      <c r="JC12" s="6">
        <v>1.64096121639778</v>
      </c>
      <c r="JD12" s="6">
        <v>1.7838227710608801</v>
      </c>
      <c r="JE12" s="6">
        <v>1.5368964329524399</v>
      </c>
      <c r="JF12" s="6">
        <v>1.4765862436877799</v>
      </c>
      <c r="JG12" s="6">
        <v>1.79132550976944</v>
      </c>
      <c r="JH12" s="6">
        <v>1.3401620087656101</v>
      </c>
      <c r="JI12" s="6">
        <v>1.4264920775580501</v>
      </c>
      <c r="JJ12" s="6">
        <v>1.64955545930078</v>
      </c>
      <c r="JK12" s="6">
        <v>1.4275855225432501</v>
      </c>
      <c r="JL12" s="6">
        <v>1.2931625957978199</v>
      </c>
      <c r="JM12" s="6">
        <v>1.2621713663269301</v>
      </c>
      <c r="JN12" s="6">
        <v>1.37117687488269</v>
      </c>
      <c r="JO12" s="6">
        <v>1.7088167104186101</v>
      </c>
      <c r="JP12" s="6">
        <v>1.3773890282824699</v>
      </c>
      <c r="JQ12" s="6">
        <v>1.5064466812397901</v>
      </c>
      <c r="JR12" s="6">
        <v>1.8839092815437499</v>
      </c>
      <c r="JS12" s="6">
        <v>2.1104770962480801</v>
      </c>
      <c r="JT12" s="6">
        <v>1.5656404202497101</v>
      </c>
      <c r="JU12" s="6">
        <v>1.32360159059727</v>
      </c>
      <c r="JV12" s="6">
        <v>1.10585677158614</v>
      </c>
      <c r="JW12" s="6">
        <v>1.4943562556049601</v>
      </c>
      <c r="JX12" s="6">
        <v>1.4500263751339899</v>
      </c>
      <c r="JY12" s="6">
        <v>1.4303892381101699</v>
      </c>
      <c r="JZ12" s="6">
        <v>1.5895530333724699</v>
      </c>
      <c r="KA12" s="6">
        <v>1.8150135340491</v>
      </c>
      <c r="KB12" s="6">
        <v>1.3233309932746899</v>
      </c>
      <c r="KC12" s="6">
        <v>1.0626932326610301</v>
      </c>
      <c r="KD12" s="6">
        <v>1.3038738272614001</v>
      </c>
      <c r="KE12" s="6">
        <v>1.6003830047158101</v>
      </c>
      <c r="KF12" s="6">
        <v>1.2611337927767401</v>
      </c>
      <c r="KG12" s="6">
        <v>1.66694350569906</v>
      </c>
      <c r="KH12" s="6">
        <v>1.51547501177331</v>
      </c>
      <c r="KI12" s="6">
        <v>1.2420261326627899</v>
      </c>
      <c r="KJ12" s="6">
        <v>1.44813928563323</v>
      </c>
      <c r="KK12" s="6">
        <v>2.0648177502851199</v>
      </c>
      <c r="KL12" s="6">
        <v>1.0116776597800401</v>
      </c>
      <c r="KM12" s="6">
        <v>1.6623233855275501</v>
      </c>
      <c r="KN12" s="6">
        <v>1.62379040273175</v>
      </c>
      <c r="KO12" s="6">
        <v>1.46958606886306</v>
      </c>
      <c r="KP12" s="6">
        <v>1.60164612634652</v>
      </c>
      <c r="KQ12" s="6">
        <v>1.6189450745691001</v>
      </c>
      <c r="KR12" s="6">
        <v>1.7277012877536899</v>
      </c>
      <c r="KS12" s="6">
        <v>1.41718737950261</v>
      </c>
      <c r="KT12" s="6">
        <v>1.5431436772859199</v>
      </c>
      <c r="KU12" s="6">
        <v>1.39355823132184</v>
      </c>
      <c r="KV12" s="6">
        <v>1.8124131833988599</v>
      </c>
      <c r="KW12" s="6">
        <v>1.45383407006203</v>
      </c>
      <c r="KX12" s="6">
        <v>1.54653229062118</v>
      </c>
      <c r="KY12" s="6">
        <v>1.57242127206383</v>
      </c>
      <c r="KZ12" s="6">
        <v>1.5550290345942399</v>
      </c>
      <c r="LA12" s="6">
        <v>1.51720027479528</v>
      </c>
      <c r="LB12" s="6">
        <v>1.33977422757416</v>
      </c>
      <c r="LC12" s="6">
        <v>1.61935633140122</v>
      </c>
      <c r="LD12" s="6">
        <v>2.0794417265079601</v>
      </c>
      <c r="LE12" s="6">
        <v>1.4102234973710299</v>
      </c>
      <c r="LF12" s="6">
        <v>2.0594616747814798</v>
      </c>
      <c r="LG12" s="6">
        <v>1.43090732861276</v>
      </c>
      <c r="LH12" s="6">
        <v>1.49760814610854</v>
      </c>
      <c r="LI12" s="6">
        <v>1.50231749750688</v>
      </c>
      <c r="LJ12" s="6">
        <v>1.17577944586654</v>
      </c>
      <c r="LK12" s="6">
        <v>1.7161150968441601</v>
      </c>
      <c r="LL12" s="6">
        <v>1.74356909506332</v>
      </c>
      <c r="LM12" s="6">
        <v>1.7163255219428999</v>
      </c>
      <c r="LN12" s="6">
        <v>1.6674727455170899</v>
      </c>
      <c r="LO12" s="6">
        <v>1.60541904795566</v>
      </c>
      <c r="LP12" s="6">
        <v>1.2855745492430799</v>
      </c>
      <c r="LQ12" s="6">
        <v>2.0698357021303799</v>
      </c>
      <c r="LR12" s="6">
        <v>1.2653147671780101</v>
      </c>
      <c r="LS12" s="6">
        <v>1.6854268899320599</v>
      </c>
      <c r="LT12" s="6">
        <v>1.62367240513588</v>
      </c>
      <c r="LU12" s="6">
        <v>1.3581755449495301</v>
      </c>
      <c r="LV12" s="6">
        <v>1.6572906918743799</v>
      </c>
      <c r="LW12" s="6">
        <v>1.53284590653027</v>
      </c>
      <c r="LX12" s="6">
        <v>1.7436997743110001</v>
      </c>
      <c r="LY12" s="6">
        <v>1.61131989254563</v>
      </c>
      <c r="LZ12" s="6">
        <v>1.62658695195555</v>
      </c>
      <c r="MA12" s="6">
        <v>1.353212263176</v>
      </c>
      <c r="MB12" s="6">
        <v>1.42153702250132</v>
      </c>
      <c r="MC12" s="6">
        <v>1.8436258407747601</v>
      </c>
      <c r="MD12" s="6">
        <v>1.46699237487867</v>
      </c>
      <c r="ME12" s="6">
        <v>1.4409550844497201</v>
      </c>
      <c r="MF12" s="6">
        <v>1.4813502845928801</v>
      </c>
      <c r="MG12" s="6">
        <v>1.57211576758101</v>
      </c>
      <c r="MH12" s="6">
        <v>1.6919138249800201</v>
      </c>
      <c r="MI12" s="6">
        <v>1.7159755045003799</v>
      </c>
      <c r="MJ12" s="6">
        <v>1.60132063003509</v>
      </c>
      <c r="MK12" s="6">
        <v>1.7811110545961999</v>
      </c>
      <c r="ML12" s="6">
        <v>1.34264136233853</v>
      </c>
      <c r="MM12" s="6">
        <v>1.6829696803792</v>
      </c>
      <c r="MN12" s="6">
        <v>1.59437389244604</v>
      </c>
      <c r="MO12" s="6">
        <v>1.8161762846256</v>
      </c>
      <c r="MP12" s="6">
        <v>1.08763427201756</v>
      </c>
      <c r="MQ12" s="6">
        <v>1.8978742611472501</v>
      </c>
      <c r="MR12" s="6">
        <v>1.8557496762493599</v>
      </c>
      <c r="MS12" s="6">
        <v>1.5127438962889299</v>
      </c>
      <c r="MT12" s="6">
        <v>1.4766159792385201</v>
      </c>
      <c r="MU12" s="6">
        <v>1.1749561064460901</v>
      </c>
      <c r="MV12" s="6">
        <v>1.8573625398426299</v>
      </c>
      <c r="MW12" s="6">
        <v>1.55512600606033</v>
      </c>
      <c r="MX12" s="6">
        <v>1.25184451925616</v>
      </c>
      <c r="MY12" s="6">
        <v>1.83906645498911</v>
      </c>
      <c r="MZ12" s="6">
        <v>1.51150978655868</v>
      </c>
      <c r="NA12" s="6">
        <v>1.8846529641580401</v>
      </c>
      <c r="NB12" s="6">
        <v>1.4954162133842801</v>
      </c>
      <c r="NC12" s="6">
        <v>1.5631555207377399</v>
      </c>
      <c r="ND12" s="6">
        <v>1.65969751349446</v>
      </c>
      <c r="NE12" s="6">
        <v>1.38173582726668</v>
      </c>
      <c r="NF12" s="6">
        <v>1.7731769886043001</v>
      </c>
      <c r="NG12" s="6">
        <v>1.3427182514577201</v>
      </c>
      <c r="NH12" s="6">
        <v>1.7942400708925801</v>
      </c>
      <c r="NI12" s="6">
        <v>1.58109897977209</v>
      </c>
      <c r="NJ12" s="6">
        <v>1.46693978859886</v>
      </c>
      <c r="NK12" s="6">
        <v>1.13691471094246</v>
      </c>
      <c r="NL12" s="6">
        <v>1.5963389662640399</v>
      </c>
      <c r="NM12" s="6">
        <v>1.5509270952069101</v>
      </c>
      <c r="NN12" s="6">
        <v>1.7126403825010601</v>
      </c>
      <c r="NO12" s="6">
        <v>1.4281826502569901</v>
      </c>
      <c r="NP12" s="6">
        <v>1.19982110704497</v>
      </c>
      <c r="NQ12" s="6">
        <v>1.5118148428095799</v>
      </c>
      <c r="NR12" s="6">
        <v>1.5130681365457901</v>
      </c>
      <c r="NS12" s="6">
        <v>1.8058481799905901</v>
      </c>
      <c r="NT12" s="6">
        <v>1.57884743825164</v>
      </c>
      <c r="NU12" s="6">
        <v>1.8967698060607201</v>
      </c>
      <c r="NV12" s="6">
        <v>1.4556499869425901</v>
      </c>
      <c r="NW12" s="6">
        <v>1.3590203952206901</v>
      </c>
      <c r="NX12" s="6">
        <v>1.4224873402990501</v>
      </c>
      <c r="NY12" s="6">
        <v>1.57090359224453</v>
      </c>
      <c r="NZ12" s="6">
        <v>1.2436695138252201</v>
      </c>
      <c r="OA12" s="6">
        <v>1.3171629388594499</v>
      </c>
      <c r="OB12" s="6">
        <v>1.43879118139012</v>
      </c>
      <c r="OC12" s="6">
        <v>1.41696927595125</v>
      </c>
      <c r="OD12" s="6">
        <v>1.7927520590543</v>
      </c>
      <c r="OE12" s="6">
        <v>1.32066692914185</v>
      </c>
      <c r="OF12" s="6">
        <v>1.1409552243582699</v>
      </c>
      <c r="OG12" s="6">
        <v>1.3507510937548399</v>
      </c>
      <c r="OH12" s="6">
        <v>1.2494717324273601</v>
      </c>
      <c r="OI12" s="6">
        <v>1.51848944774217</v>
      </c>
      <c r="OJ12" s="6">
        <v>1.4488040175186101</v>
      </c>
      <c r="OK12" s="6">
        <v>1.6600436410094701</v>
      </c>
      <c r="OL12" s="6">
        <v>1.73645055879481</v>
      </c>
      <c r="OM12" s="6">
        <v>1.2613412965995401</v>
      </c>
      <c r="ON12" s="6">
        <v>1.3732511808479899</v>
      </c>
      <c r="OO12" s="6">
        <v>1.76840491741759</v>
      </c>
      <c r="OP12" s="6">
        <v>1.36151873235996</v>
      </c>
      <c r="OQ12" s="6">
        <v>0.78808312038153705</v>
      </c>
      <c r="OR12" s="6">
        <v>1.3633384391730701</v>
      </c>
      <c r="OS12" s="6">
        <v>1.86202454320555</v>
      </c>
      <c r="OT12" s="6">
        <v>1.39263588915874</v>
      </c>
      <c r="OU12" s="6">
        <v>1.1925281785828299</v>
      </c>
      <c r="OV12" s="6">
        <v>1.2381241630239099</v>
      </c>
      <c r="OW12" s="6">
        <v>1.4000214585519499</v>
      </c>
      <c r="OX12" s="6">
        <v>1.74878221181698</v>
      </c>
      <c r="OY12" s="6">
        <v>1.45496001718462</v>
      </c>
      <c r="OZ12" s="6">
        <v>1.6498849341655599</v>
      </c>
      <c r="PA12" s="6">
        <v>1.3224237455868699</v>
      </c>
      <c r="PB12" s="6">
        <v>1.5438278188104499</v>
      </c>
      <c r="PC12" s="6">
        <v>1.4785425744032299</v>
      </c>
      <c r="PD12" s="6">
        <v>1.2641082159114201</v>
      </c>
      <c r="PE12" s="6">
        <v>1.61005210148692</v>
      </c>
      <c r="PF12" s="6">
        <v>1.54558423550943</v>
      </c>
      <c r="PG12" s="6">
        <v>2.20390845120414</v>
      </c>
      <c r="PH12" s="6">
        <v>1.5943810531875899</v>
      </c>
      <c r="PI12" s="6">
        <v>1.1696551928708401</v>
      </c>
      <c r="PJ12" s="6">
        <v>1.5107781246365599</v>
      </c>
      <c r="PK12" s="6">
        <v>1.7507047872602299</v>
      </c>
      <c r="PL12" s="6">
        <v>1.7071502552451301</v>
      </c>
      <c r="PM12" s="6">
        <v>1.7151600243093701</v>
      </c>
      <c r="PN12" s="6">
        <v>1.66115022697337</v>
      </c>
      <c r="PO12" s="6">
        <v>1.7517385340382301</v>
      </c>
      <c r="PP12" s="6">
        <v>2.05082346023551</v>
      </c>
      <c r="PQ12" s="6">
        <v>1.39575304548607</v>
      </c>
      <c r="PR12" s="6">
        <v>1.74875574049255</v>
      </c>
      <c r="PS12" s="6">
        <v>1.5340339677777499</v>
      </c>
      <c r="PT12" s="6">
        <v>1.5993624724635001</v>
      </c>
      <c r="PU12" s="6">
        <v>1.41985902015845</v>
      </c>
      <c r="PV12" s="6">
        <v>1.30020075092859</v>
      </c>
      <c r="PW12" s="6">
        <v>1.2992697522783501</v>
      </c>
      <c r="PX12" s="6">
        <v>1.6147907284103</v>
      </c>
      <c r="PY12" s="6">
        <v>1.3205003891446301</v>
      </c>
      <c r="PZ12" s="6">
        <v>1.8862629169240299</v>
      </c>
      <c r="QA12" s="6">
        <v>1.6456044032347199</v>
      </c>
      <c r="QB12" s="6">
        <v>1.4640663629616699</v>
      </c>
      <c r="QC12" s="6">
        <v>1.4602310755916901</v>
      </c>
      <c r="QD12" s="6">
        <v>1.4858523636490799</v>
      </c>
      <c r="QE12" s="6">
        <v>1.18844539779834</v>
      </c>
      <c r="QF12" s="6">
        <v>2.0417351003486899</v>
      </c>
      <c r="QG12" s="6">
        <v>1.1733687498018901</v>
      </c>
      <c r="QH12" s="6">
        <v>1.8433010345704199</v>
      </c>
      <c r="QI12" s="6">
        <v>1.5588296581664201</v>
      </c>
      <c r="QJ12" s="6">
        <v>1.4864661206226599</v>
      </c>
      <c r="QK12" s="6">
        <v>1.2669086768458799</v>
      </c>
      <c r="QL12" s="6">
        <v>1.9018122338418599</v>
      </c>
      <c r="QM12" s="6">
        <v>1.1162759664634101</v>
      </c>
      <c r="QN12" s="6">
        <v>1.7025976957645601</v>
      </c>
      <c r="QO12" s="6">
        <v>1.20997811314726</v>
      </c>
      <c r="QP12" s="6">
        <v>1.4807735064540699</v>
      </c>
      <c r="QQ12" s="6">
        <v>1.6672314654109599</v>
      </c>
      <c r="QR12" s="6">
        <v>1.2904969763796399</v>
      </c>
      <c r="QS12" s="6">
        <v>1.69566037259179</v>
      </c>
      <c r="QT12" s="6">
        <v>1.74408193408774</v>
      </c>
      <c r="QU12" s="6">
        <v>1.6957150997089401</v>
      </c>
      <c r="QV12" s="6">
        <v>1.15032649587097</v>
      </c>
      <c r="QW12" s="6">
        <v>1.3060834964547401</v>
      </c>
      <c r="QX12" s="6">
        <v>1.7912432600486701</v>
      </c>
      <c r="QY12" s="6">
        <v>1.72567659145097</v>
      </c>
      <c r="QZ12" s="6">
        <v>1.5856459525820199</v>
      </c>
      <c r="RA12" s="6">
        <v>1.5425069637400399</v>
      </c>
      <c r="RB12" s="6">
        <v>1.4584509446388101</v>
      </c>
      <c r="RC12" s="6">
        <v>1.42892406152479</v>
      </c>
      <c r="RD12" s="6">
        <v>1.1016628439963501</v>
      </c>
      <c r="RE12" s="6">
        <v>1.7495049017973601</v>
      </c>
      <c r="RF12" s="6">
        <v>1.54369725190567</v>
      </c>
      <c r="RG12" s="6">
        <v>1.55647077487469</v>
      </c>
      <c r="RH12" s="6">
        <v>1.7269878164583301</v>
      </c>
      <c r="RI12" s="6">
        <v>2.0121962414985499</v>
      </c>
      <c r="RJ12" s="6">
        <v>1.67928824203375</v>
      </c>
      <c r="RK12" s="6">
        <v>1.6872063919542</v>
      </c>
      <c r="RL12" s="6">
        <v>1.43704335689534</v>
      </c>
      <c r="RM12" s="6">
        <v>1.20158513568666</v>
      </c>
      <c r="RN12" s="6">
        <v>1.4122227607006701</v>
      </c>
      <c r="RO12" s="6">
        <v>1.8333047395923401</v>
      </c>
      <c r="RP12" s="6">
        <v>1.8329500555217499</v>
      </c>
      <c r="RQ12" s="6">
        <v>1.76613265833148</v>
      </c>
      <c r="RR12" s="6">
        <v>1.4096202357627601</v>
      </c>
      <c r="RS12" s="6">
        <v>1.6953110259119399</v>
      </c>
      <c r="RT12" s="6">
        <v>1.5036567657208799</v>
      </c>
      <c r="RU12" s="6">
        <v>1.53570307122658</v>
      </c>
      <c r="RV12" s="6">
        <v>1.6332708764876001</v>
      </c>
      <c r="RW12" s="6">
        <v>1.3973426371013999</v>
      </c>
      <c r="RX12" s="6">
        <v>1.3407919380354301</v>
      </c>
      <c r="RY12" s="6">
        <v>1.6226414335693</v>
      </c>
      <c r="RZ12" s="6">
        <v>1.2902439569599</v>
      </c>
      <c r="SA12" s="6">
        <v>1.37915461768397</v>
      </c>
      <c r="SB12" s="6">
        <v>1.79570691880265</v>
      </c>
      <c r="SC12" s="6">
        <v>1.4069697001352299</v>
      </c>
      <c r="SD12" s="6">
        <v>2.1251037819118399</v>
      </c>
      <c r="SE12" s="6">
        <v>1.3171716969726901</v>
      </c>
      <c r="SF12" s="6">
        <v>1.7559572564942401</v>
      </c>
      <c r="SG12" s="6">
        <v>1.5048143413377</v>
      </c>
      <c r="SH12" s="6">
        <v>1.8704262520150099</v>
      </c>
      <c r="SI12" s="6">
        <v>1.6047689552498401</v>
      </c>
      <c r="SJ12" s="6">
        <v>1.76783267920064</v>
      </c>
      <c r="SK12" s="6">
        <v>1.3949335235192499</v>
      </c>
      <c r="SL12" s="6">
        <v>1.53412537624836</v>
      </c>
      <c r="SM12" s="6">
        <v>1.7931874984288101</v>
      </c>
      <c r="SN12" s="6">
        <v>1.5516570240604299</v>
      </c>
      <c r="SO12" s="6">
        <v>1.39616811098912</v>
      </c>
      <c r="SP12" s="6">
        <v>1.46117857545106</v>
      </c>
      <c r="SQ12" s="6">
        <v>1.73798394111331</v>
      </c>
      <c r="SR12" s="6">
        <v>1.2737162528885499</v>
      </c>
      <c r="SS12" s="6">
        <v>1.3084524978933501</v>
      </c>
      <c r="ST12" s="6">
        <v>2.03503904750833</v>
      </c>
      <c r="SU12" s="6">
        <v>1.7918707354100101</v>
      </c>
      <c r="SV12" s="6">
        <v>1.4488798439136901</v>
      </c>
      <c r="SW12" s="6">
        <v>1.5246786691830101</v>
      </c>
      <c r="SX12" s="6">
        <v>1.3591802074606001</v>
      </c>
      <c r="SY12" s="6">
        <v>1.4683998060869601</v>
      </c>
      <c r="SZ12" s="6">
        <v>1.28410497485919</v>
      </c>
      <c r="TA12" s="6">
        <v>1.5159224362797199</v>
      </c>
      <c r="TB12" s="6">
        <v>1.8125999580974601</v>
      </c>
      <c r="TC12" s="6">
        <v>1.3616584801828</v>
      </c>
      <c r="TD12" s="6">
        <v>1.5655774151706101</v>
      </c>
      <c r="TE12" s="6">
        <v>1.34629772178428</v>
      </c>
      <c r="TF12" s="6">
        <v>1.2868255179988</v>
      </c>
      <c r="TG12" s="6">
        <v>1.5369006608532401</v>
      </c>
      <c r="TH12" s="6">
        <v>1.33511738058232</v>
      </c>
      <c r="TI12" s="6">
        <v>1.5390781945915</v>
      </c>
      <c r="TJ12" s="6">
        <v>1.1340959766910199</v>
      </c>
      <c r="TK12" s="6">
        <v>1.81500044833193</v>
      </c>
      <c r="TL12" s="6">
        <v>1.4668641013091499</v>
      </c>
      <c r="TM12" s="6">
        <v>1.7039347035685199</v>
      </c>
      <c r="TN12" s="6">
        <v>2.0388582442081402</v>
      </c>
      <c r="TO12" s="6">
        <v>2.1892216104618898</v>
      </c>
      <c r="TP12" s="6">
        <v>1.77637478037146</v>
      </c>
      <c r="TQ12" s="6">
        <v>1.22104237317308</v>
      </c>
    </row>
    <row r="13" spans="1:537" x14ac:dyDescent="0.3">
      <c r="A13" s="28"/>
      <c r="B13" s="28"/>
      <c r="C13" s="28"/>
      <c r="D13" s="28"/>
      <c r="E13" s="14"/>
      <c r="F13" s="14"/>
      <c r="H13" s="19" t="s">
        <v>81</v>
      </c>
      <c r="I13" s="19" t="s">
        <v>10</v>
      </c>
      <c r="J13" s="26">
        <f t="shared" si="5"/>
        <v>1.5485906583451357E-2</v>
      </c>
      <c r="K13" s="20">
        <v>0.44737161390000002</v>
      </c>
      <c r="L13" s="5"/>
      <c r="M13" s="19" t="s">
        <v>81</v>
      </c>
      <c r="N13" s="19" t="s">
        <v>10</v>
      </c>
      <c r="O13" s="26">
        <f t="shared" si="6"/>
        <v>1.523174066698574E-2</v>
      </c>
      <c r="P13" s="20">
        <f t="shared" si="7"/>
        <v>0.38626431585078336</v>
      </c>
      <c r="Q13" s="5"/>
      <c r="R13" s="19" t="s">
        <v>81</v>
      </c>
      <c r="S13" s="19" t="s">
        <v>10</v>
      </c>
      <c r="T13" s="26">
        <f t="shared" si="8"/>
        <v>1.888539614819058E-2</v>
      </c>
      <c r="U13" s="20">
        <f t="shared" si="9"/>
        <v>0.641270350619499</v>
      </c>
      <c r="W13" s="1"/>
      <c r="X13" s="1"/>
      <c r="Y13" s="29"/>
      <c r="Z13" s="30"/>
      <c r="AF13" s="6" t="s">
        <v>10</v>
      </c>
      <c r="AG13" s="6">
        <v>0</v>
      </c>
      <c r="AH13" s="6">
        <v>0</v>
      </c>
    </row>
    <row r="14" spans="1:537" x14ac:dyDescent="0.3">
      <c r="A14" s="28"/>
      <c r="B14" s="28"/>
      <c r="C14" s="28"/>
      <c r="D14" s="28"/>
      <c r="E14" s="14"/>
      <c r="F14" s="14"/>
      <c r="H14" s="19" t="s">
        <v>85</v>
      </c>
      <c r="I14" s="19" t="s">
        <v>10</v>
      </c>
      <c r="J14" s="26">
        <f t="shared" si="5"/>
        <v>1.4543376103900629E-3</v>
      </c>
      <c r="K14" s="20">
        <v>4.2014289599999997E-2</v>
      </c>
      <c r="L14" s="5"/>
      <c r="M14" s="19" t="s">
        <v>85</v>
      </c>
      <c r="N14" s="19" t="s">
        <v>10</v>
      </c>
      <c r="O14" s="26">
        <f t="shared" si="6"/>
        <v>1.2926566625135602E-3</v>
      </c>
      <c r="P14" s="20">
        <f t="shared" si="7"/>
        <v>3.2780701319185923E-2</v>
      </c>
      <c r="Q14" s="5"/>
      <c r="R14" s="19" t="s">
        <v>85</v>
      </c>
      <c r="S14" s="19" t="s">
        <v>10</v>
      </c>
      <c r="T14" s="26">
        <f t="shared" si="8"/>
        <v>1.5777555933609612E-3</v>
      </c>
      <c r="U14" s="20">
        <f t="shared" si="9"/>
        <v>5.3574088391224836E-2</v>
      </c>
      <c r="W14" s="1"/>
      <c r="X14" s="1"/>
      <c r="Y14" s="31"/>
      <c r="Z14" s="30"/>
    </row>
    <row r="15" spans="1:537" x14ac:dyDescent="0.3">
      <c r="A15" s="28"/>
      <c r="B15" s="28"/>
      <c r="C15" s="28"/>
      <c r="D15" s="28"/>
      <c r="E15" s="14"/>
      <c r="F15" s="14"/>
      <c r="H15" s="19" t="s">
        <v>82</v>
      </c>
      <c r="I15" s="19" t="s">
        <v>10</v>
      </c>
      <c r="J15" s="26">
        <f t="shared" si="5"/>
        <v>4.6457103154780688E-2</v>
      </c>
      <c r="K15" s="20">
        <v>1.3420970289</v>
      </c>
      <c r="L15" s="5"/>
      <c r="M15" s="19" t="s">
        <v>82</v>
      </c>
      <c r="N15" s="19" t="s">
        <v>10</v>
      </c>
      <c r="O15" s="26">
        <f t="shared" si="6"/>
        <v>4.3321527010275272E-2</v>
      </c>
      <c r="P15" s="20">
        <f t="shared" si="7"/>
        <v>1.0985980104364967</v>
      </c>
      <c r="Q15" s="5"/>
      <c r="R15" s="19" t="s">
        <v>82</v>
      </c>
      <c r="S15" s="19" t="s">
        <v>10</v>
      </c>
      <c r="T15" s="26">
        <f t="shared" si="8"/>
        <v>4.8592682066972238E-2</v>
      </c>
      <c r="U15" s="20">
        <f t="shared" si="9"/>
        <v>1.6500075519789763</v>
      </c>
      <c r="W15" s="1"/>
      <c r="X15" s="1"/>
      <c r="Y15" s="31"/>
      <c r="Z15" s="30"/>
    </row>
    <row r="16" spans="1:537" x14ac:dyDescent="0.3">
      <c r="A16" s="28"/>
      <c r="B16" s="28"/>
      <c r="C16" s="28"/>
      <c r="D16" s="28"/>
      <c r="E16" s="14"/>
      <c r="F16" s="14"/>
      <c r="H16" s="19" t="s">
        <v>86</v>
      </c>
      <c r="I16" s="19" t="s">
        <v>10</v>
      </c>
      <c r="J16" s="26">
        <f t="shared" si="5"/>
        <v>5.9509950086358522E-3</v>
      </c>
      <c r="K16" s="20">
        <v>0.1719180099</v>
      </c>
      <c r="L16" s="5"/>
      <c r="M16" s="19" t="s">
        <v>86</v>
      </c>
      <c r="N16" s="19" t="s">
        <v>10</v>
      </c>
      <c r="O16" s="26">
        <f t="shared" si="6"/>
        <v>5.2731827330503318E-3</v>
      </c>
      <c r="P16" s="20">
        <f t="shared" si="7"/>
        <v>0.13372354252016871</v>
      </c>
      <c r="Q16" s="5"/>
      <c r="R16" s="19" t="s">
        <v>86</v>
      </c>
      <c r="S16" s="19" t="s">
        <v>10</v>
      </c>
      <c r="T16" s="26">
        <f t="shared" si="8"/>
        <v>6.3532086135498368E-3</v>
      </c>
      <c r="U16" s="20">
        <f t="shared" si="9"/>
        <v>0.21572882470671756</v>
      </c>
      <c r="W16" s="1"/>
      <c r="X16" s="1"/>
      <c r="Y16" s="31"/>
      <c r="Z16" s="30"/>
    </row>
    <row r="17" spans="1:26" x14ac:dyDescent="0.3">
      <c r="A17" s="28"/>
      <c r="B17" s="28"/>
      <c r="C17" s="28"/>
      <c r="D17" s="28"/>
      <c r="E17" s="14"/>
      <c r="F17" s="14"/>
      <c r="H17" s="32" t="s">
        <v>10</v>
      </c>
      <c r="I17" s="19" t="s">
        <v>10</v>
      </c>
      <c r="J17" s="26">
        <f t="shared" si="5"/>
        <v>6.8726285793128949E-4</v>
      </c>
      <c r="K17" s="33">
        <f>I3-SUM(K6:K16)</f>
        <v>1.9854303799998974E-2</v>
      </c>
      <c r="L17" s="5"/>
      <c r="M17" s="32" t="s">
        <v>10</v>
      </c>
      <c r="N17" s="19" t="s">
        <v>10</v>
      </c>
      <c r="O17" s="26">
        <f t="shared" si="6"/>
        <v>7.8292400875559819E-4</v>
      </c>
      <c r="P17" s="20">
        <f>K17*(1-AG13)</f>
        <v>1.9854303799998974E-2</v>
      </c>
      <c r="Q17" s="5"/>
      <c r="R17" s="32" t="s">
        <v>10</v>
      </c>
      <c r="S17" s="19" t="s">
        <v>10</v>
      </c>
      <c r="T17" s="26">
        <f t="shared" si="8"/>
        <v>5.8470876151888156E-4</v>
      </c>
      <c r="U17" s="20">
        <f t="shared" si="9"/>
        <v>1.9854303799998974E-2</v>
      </c>
      <c r="W17" s="1"/>
      <c r="X17" s="1"/>
      <c r="Y17" s="31"/>
      <c r="Z17" s="1"/>
    </row>
    <row r="18" spans="1:26" x14ac:dyDescent="0.3">
      <c r="A18" s="28"/>
      <c r="B18" s="28"/>
      <c r="C18" s="28"/>
      <c r="D18" s="28"/>
      <c r="E18" s="14"/>
      <c r="F18" s="14"/>
      <c r="H18" s="19"/>
      <c r="I18" s="9" t="s">
        <v>32</v>
      </c>
      <c r="J18" s="26">
        <f t="shared" si="5"/>
        <v>1</v>
      </c>
      <c r="K18" s="34">
        <f>SUM(K6:K17)</f>
        <v>28.888952124900001</v>
      </c>
      <c r="L18" s="5"/>
      <c r="M18" s="19"/>
      <c r="N18" s="9" t="s">
        <v>32</v>
      </c>
      <c r="O18" s="26">
        <f t="shared" si="6"/>
        <v>1</v>
      </c>
      <c r="P18" s="34">
        <f>SUM(P6:P17)</f>
        <v>25.359170976958506</v>
      </c>
      <c r="Q18" s="5"/>
      <c r="R18" s="19"/>
      <c r="S18" s="9" t="s">
        <v>32</v>
      </c>
      <c r="T18" s="26">
        <f>U18/$U$18</f>
        <v>1</v>
      </c>
      <c r="U18" s="34">
        <f>SUM(U6:U17)</f>
        <v>33.955885573570001</v>
      </c>
      <c r="W18" s="1"/>
      <c r="X18" s="1"/>
      <c r="Y18" s="1"/>
      <c r="Z18" s="1"/>
    </row>
    <row r="19" spans="1:26" x14ac:dyDescent="0.3">
      <c r="A19" s="28"/>
      <c r="B19" s="28"/>
      <c r="C19" s="28"/>
      <c r="D19" s="28"/>
      <c r="E19" s="14"/>
      <c r="F19" s="14"/>
      <c r="H19" s="19"/>
      <c r="I19" s="9"/>
      <c r="J19" s="9"/>
      <c r="K19" s="20"/>
      <c r="L19" s="5"/>
      <c r="M19" s="19"/>
      <c r="N19" s="9"/>
      <c r="O19" s="9"/>
      <c r="P19" s="20"/>
      <c r="Q19" s="5"/>
      <c r="R19" s="19"/>
      <c r="S19" s="9"/>
      <c r="T19" s="9"/>
      <c r="U19" s="20"/>
      <c r="X19" s="35"/>
      <c r="Y19" s="35"/>
      <c r="Z19" s="35"/>
    </row>
    <row r="20" spans="1:26" ht="57.6" x14ac:dyDescent="0.3">
      <c r="A20" s="28"/>
      <c r="B20" s="28"/>
      <c r="C20" s="28"/>
      <c r="D20" s="28"/>
      <c r="E20" s="14"/>
      <c r="F20" s="14"/>
      <c r="H20" s="36"/>
      <c r="I20" s="37" t="s">
        <v>18</v>
      </c>
      <c r="J20" s="38" t="s">
        <v>15</v>
      </c>
      <c r="K20" s="39" t="s">
        <v>38</v>
      </c>
      <c r="L20" s="5"/>
      <c r="M20" s="36"/>
      <c r="N20" s="37" t="s">
        <v>18</v>
      </c>
      <c r="O20" s="38" t="s">
        <v>15</v>
      </c>
      <c r="P20" s="39" t="s">
        <v>38</v>
      </c>
      <c r="Q20" s="5"/>
      <c r="R20" s="36"/>
      <c r="S20" s="37" t="s">
        <v>18</v>
      </c>
      <c r="T20" s="38" t="s">
        <v>15</v>
      </c>
      <c r="U20" s="39" t="s">
        <v>38</v>
      </c>
      <c r="W20" s="1"/>
      <c r="X20" s="1"/>
      <c r="Y20" s="40"/>
      <c r="Z20" s="30"/>
    </row>
    <row r="21" spans="1:26" x14ac:dyDescent="0.3">
      <c r="A21" s="28"/>
      <c r="B21" s="28"/>
      <c r="C21" s="28"/>
      <c r="D21" s="28"/>
      <c r="E21" s="14"/>
      <c r="F21" s="14"/>
      <c r="H21" s="19"/>
      <c r="I21" s="19" t="s">
        <v>22</v>
      </c>
      <c r="J21" s="41">
        <f>SUMIF(I$6:I$17, I21, J$6:J$17)</f>
        <v>0.66229914832766645</v>
      </c>
      <c r="K21" s="34">
        <f>J21*$I$3</f>
        <v>19.133128388399999</v>
      </c>
      <c r="L21" s="5"/>
      <c r="M21" s="19"/>
      <c r="N21" s="19" t="s">
        <v>22</v>
      </c>
      <c r="O21" s="41">
        <f>SUMIF(N$6:N$17, N21, O$6:O$17)</f>
        <v>0.71282159015179214</v>
      </c>
      <c r="P21" s="34">
        <f>O21*$N$3</f>
        <v>18.076564580726739</v>
      </c>
      <c r="Q21" s="5"/>
      <c r="R21" s="19"/>
      <c r="S21" s="19" t="s">
        <v>22</v>
      </c>
      <c r="T21" s="41">
        <f>SUMIF(S$6:S$17, S21, T$6:T$17)</f>
        <v>0.64118059262295268</v>
      </c>
      <c r="U21" s="34">
        <f>T21*$S$3</f>
        <v>21.771854835098782</v>
      </c>
      <c r="W21" s="1"/>
      <c r="X21" s="1"/>
      <c r="Y21" s="40"/>
      <c r="Z21" s="30"/>
    </row>
    <row r="22" spans="1:26" x14ac:dyDescent="0.3">
      <c r="A22" s="28"/>
      <c r="B22" s="28"/>
      <c r="C22" s="28"/>
      <c r="D22" s="28"/>
      <c r="E22" s="14"/>
      <c r="F22" s="14"/>
      <c r="H22" s="19"/>
      <c r="I22" s="19" t="s">
        <v>6</v>
      </c>
      <c r="J22" s="41">
        <f t="shared" ref="J22:J24" si="10">SUMIF(I$6:I$17, I22, J$6:J$17)</f>
        <v>0</v>
      </c>
      <c r="K22" s="34">
        <f t="shared" ref="K22:K23" si="11">J22*$I$3</f>
        <v>0</v>
      </c>
      <c r="L22" s="5"/>
      <c r="M22" s="19"/>
      <c r="N22" s="19" t="s">
        <v>6</v>
      </c>
      <c r="O22" s="41">
        <f t="shared" ref="O22:O24" si="12">SUMIF(N$6:N$17, N22, O$6:O$17)</f>
        <v>0</v>
      </c>
      <c r="P22" s="34">
        <f t="shared" ref="P22:P25" si="13">O22*$N$3</f>
        <v>0</v>
      </c>
      <c r="Q22" s="5"/>
      <c r="R22" s="19"/>
      <c r="S22" s="19" t="s">
        <v>6</v>
      </c>
      <c r="T22" s="41">
        <f t="shared" ref="T22:T24" si="14">SUMIF(S$6:S$17, S22, T$6:T$17)</f>
        <v>0</v>
      </c>
      <c r="U22" s="34">
        <f t="shared" ref="U22:U25" si="15">T22*$S$3</f>
        <v>0</v>
      </c>
      <c r="W22" s="1"/>
      <c r="X22" s="1"/>
      <c r="Y22" s="40"/>
      <c r="Z22" s="30"/>
    </row>
    <row r="23" spans="1:26" x14ac:dyDescent="0.3">
      <c r="A23" s="28"/>
      <c r="B23" s="28"/>
      <c r="C23" s="28"/>
      <c r="D23" s="28"/>
      <c r="E23" s="14"/>
      <c r="F23" s="14"/>
      <c r="H23" s="19"/>
      <c r="I23" s="19" t="s">
        <v>31</v>
      </c>
      <c r="J23" s="41">
        <f t="shared" si="10"/>
        <v>0</v>
      </c>
      <c r="K23" s="34">
        <f t="shared" si="11"/>
        <v>0</v>
      </c>
      <c r="L23" s="5"/>
      <c r="M23" s="19"/>
      <c r="N23" s="19" t="s">
        <v>31</v>
      </c>
      <c r="O23" s="41">
        <f t="shared" si="12"/>
        <v>0</v>
      </c>
      <c r="P23" s="34">
        <f t="shared" si="13"/>
        <v>0</v>
      </c>
      <c r="Q23" s="5"/>
      <c r="R23" s="19"/>
      <c r="S23" s="19" t="s">
        <v>31</v>
      </c>
      <c r="T23" s="41">
        <f t="shared" si="14"/>
        <v>0</v>
      </c>
      <c r="U23" s="34">
        <f t="shared" si="15"/>
        <v>0</v>
      </c>
      <c r="W23" s="1"/>
      <c r="X23" s="1"/>
      <c r="Y23" s="40"/>
      <c r="Z23" s="30"/>
    </row>
    <row r="24" spans="1:26" ht="15" customHeight="1" x14ac:dyDescent="0.3">
      <c r="A24" s="28"/>
      <c r="B24" s="28"/>
      <c r="C24" s="28"/>
      <c r="D24" s="28"/>
      <c r="E24" s="14"/>
      <c r="F24" s="14"/>
      <c r="H24" s="19"/>
      <c r="I24" s="19" t="s">
        <v>10</v>
      </c>
      <c r="J24" s="41">
        <f t="shared" si="10"/>
        <v>0.33770085167233344</v>
      </c>
      <c r="K24" s="34">
        <f>J24*$I$3</f>
        <v>9.7558237364999965</v>
      </c>
      <c r="L24" s="5"/>
      <c r="M24" s="19"/>
      <c r="N24" s="19" t="s">
        <v>10</v>
      </c>
      <c r="O24" s="41">
        <f t="shared" si="12"/>
        <v>0.28717840984820769</v>
      </c>
      <c r="P24" s="34">
        <f t="shared" si="13"/>
        <v>7.2826063962317633</v>
      </c>
      <c r="Q24" s="5"/>
      <c r="R24" s="19"/>
      <c r="S24" s="19" t="s">
        <v>10</v>
      </c>
      <c r="T24" s="41">
        <f t="shared" si="14"/>
        <v>0.35881940737704771</v>
      </c>
      <c r="U24" s="34">
        <f t="shared" si="15"/>
        <v>12.184030738471231</v>
      </c>
      <c r="W24" s="1"/>
      <c r="X24" s="1"/>
      <c r="Y24" s="40"/>
      <c r="Z24" s="30"/>
    </row>
    <row r="25" spans="1:26" ht="15" customHeight="1" x14ac:dyDescent="0.3">
      <c r="A25" s="28"/>
      <c r="B25" s="28"/>
      <c r="C25" s="28"/>
      <c r="D25" s="28"/>
      <c r="E25" s="14"/>
      <c r="F25" s="14"/>
      <c r="H25" s="42"/>
      <c r="I25" s="42" t="s">
        <v>32</v>
      </c>
      <c r="J25" s="43">
        <f>SUM(J21:J24)</f>
        <v>0.99999999999999989</v>
      </c>
      <c r="K25" s="44">
        <f>SUM(K21:K24)</f>
        <v>28.888952124899994</v>
      </c>
      <c r="L25" s="5"/>
      <c r="M25" s="42"/>
      <c r="N25" s="42" t="s">
        <v>32</v>
      </c>
      <c r="O25" s="43">
        <f>SUM(O21:O24)</f>
        <v>0.99999999999999978</v>
      </c>
      <c r="P25" s="34">
        <f t="shared" si="13"/>
        <v>25.359170976958499</v>
      </c>
      <c r="Q25" s="5"/>
      <c r="R25" s="42"/>
      <c r="S25" s="42" t="s">
        <v>32</v>
      </c>
      <c r="T25" s="43">
        <f>SUM(T21:T24)</f>
        <v>1.0000000000000004</v>
      </c>
      <c r="U25" s="34">
        <f t="shared" si="15"/>
        <v>33.955885573570015</v>
      </c>
    </row>
    <row r="26" spans="1:26" ht="15" customHeight="1" x14ac:dyDescent="0.3"/>
    <row r="27" spans="1:26" x14ac:dyDescent="0.3">
      <c r="H27" s="89" t="s">
        <v>104</v>
      </c>
      <c r="I27" s="89"/>
      <c r="J27" s="89"/>
      <c r="K27" s="89"/>
      <c r="L27" s="89"/>
      <c r="M27" s="89"/>
      <c r="N27" s="89"/>
      <c r="O27" s="89"/>
      <c r="P27" s="89"/>
      <c r="Q27" s="89"/>
      <c r="R27" s="89"/>
      <c r="S27" s="89"/>
      <c r="T27" s="89"/>
      <c r="U27" s="89"/>
      <c r="V27" s="115" t="s">
        <v>113</v>
      </c>
      <c r="W27" s="115"/>
      <c r="X27" s="35"/>
      <c r="Y27" s="35"/>
      <c r="Z27" s="35"/>
    </row>
    <row r="28" spans="1:26" ht="43.2" x14ac:dyDescent="0.3">
      <c r="H28" s="3" t="str">
        <f>IF(ISBLANK('[1]Cobalt Qualified Studies'!A1),"",'[1]Cobalt Qualified Studies'!A1)</f>
        <v>Source</v>
      </c>
      <c r="I28" s="3" t="str">
        <f>IF(ISBLANK('[1]Cobalt Qualified Studies'!B1),"",'[1]Cobalt Qualified Studies'!B1)</f>
        <v>Title</v>
      </c>
      <c r="J28" s="3" t="str">
        <f>IF(ISBLANK('[1]Cobalt Qualified Studies'!C1),"",'[1]Cobalt Qualified Studies'!C1)</f>
        <v>Link</v>
      </c>
      <c r="K28" s="3" t="str">
        <f>IF(ISBLANK('[1]Cobalt Qualified Studies'!D1),"",'[1]Cobalt Qualified Studies'!D1)</f>
        <v>Source type</v>
      </c>
      <c r="L28" s="3" t="str">
        <f>IF(ISBLANK('[1]Cobalt Qualified Studies'!E1),"",'[1]Cobalt Qualified Studies'!E1)</f>
        <v>Total emissions [kgCO2eq/kg]</v>
      </c>
      <c r="M28" s="7" t="str">
        <f>IF(ISBLANK('[1]Cobalt Qualified Studies'!F1),"",'[1]Cobalt Qualified Studies'!F1)</f>
        <v>Harmonised emissions kg_CO2eq/kg_CoSO4_anhydrous]</v>
      </c>
      <c r="N28" s="3" t="str">
        <f>IF(ISBLANK('[1]Cobalt Qualified Studies'!G1),"",'[1]Cobalt Qualified Studies'!G1)</f>
        <v>Primary data?</v>
      </c>
      <c r="O28" s="3" t="str">
        <f>IF(ISBLANK('[1]Cobalt Qualified Studies'!H1),"",'[1]Cobalt Qualified Studies'!H1)</f>
        <v>Functional unit?</v>
      </c>
      <c r="P28" s="3" t="str">
        <f>IF(ISBLANK('[1]Cobalt Qualified Studies'!I1),"",'[1]Cobalt Qualified Studies'!I1)</f>
        <v>System boundaries</v>
      </c>
      <c r="Q28" s="3" t="str">
        <f>IF(ISBLANK('[1]Cobalt Qualified Studies'!J1),"",'[1]Cobalt Qualified Studies'!J1)</f>
        <v>Methodological transparency</v>
      </c>
      <c r="R28" s="3" t="str">
        <f>IF(ISBLANK('[1]Cobalt Qualified Studies'!K1),"",'[1]Cobalt Qualified Studies'!K1)</f>
        <v>Process / ore type?</v>
      </c>
      <c r="S28" s="3" t="str">
        <f>IF(ISBLANK('[1]Cobalt Qualified Studies'!L1),"",'[1]Cobalt Qualified Studies'!L1)</f>
        <v>Found via</v>
      </c>
      <c r="T28" s="3" t="str">
        <f>IF(ISBLANK('[1]Cobalt Qualified Studies'!M1),"",'[1]Cobalt Qualified Studies'!M1)</f>
        <v>Location of production</v>
      </c>
      <c r="U28" s="3" t="str">
        <f>IF(ISBLANK('[1]Cobalt Qualified Studies'!N1),"",'[1]Cobalt Qualified Studies'!N1)</f>
        <v>Mine</v>
      </c>
      <c r="V28" s="4" t="s">
        <v>110</v>
      </c>
      <c r="W28" s="5" t="s">
        <v>143</v>
      </c>
    </row>
    <row r="29" spans="1:26" ht="86.4" x14ac:dyDescent="0.3">
      <c r="G29" s="1" t="str">
        <f>IF(H29="Zhang et al. (2021)","","ERROR - check row order of Notion export")</f>
        <v/>
      </c>
      <c r="H29" s="3" t="str">
        <f>IF(ISBLANK('[1]Cobalt Qualified Studies'!A2),"",'[1]Cobalt Qualified Studies'!A2)</f>
        <v>Zhang et al. (2021)</v>
      </c>
      <c r="I29" s="3" t="str">
        <f>IF(ISBLANK('[1]Cobalt Qualified Studies'!B2),"",'[1]Cobalt Qualified Studies'!B2)</f>
        <v>Cradle-to-gate life cycle assessment of cobalt sulfate production derived from a nickel–copper–cobalt mine in China.</v>
      </c>
      <c r="J29" s="3" t="str">
        <f>IF(ISBLANK('[1]Cobalt Qualified Studies'!C2),"",'[1]Cobalt Qualified Studies'!C2)</f>
        <v>https://doi.org/10.1007/s11367-021-01925-x</v>
      </c>
      <c r="K29" s="3" t="str">
        <f>IF(ISBLANK('[1]Cobalt Qualified Studies'!D2),"",'[1]Cobalt Qualified Studies'!D2)</f>
        <v>Literature</v>
      </c>
      <c r="L29" s="3" t="str">
        <f>IF(ISBLANK('[1]Cobalt Qualified Studies'!E2),"",'[1]Cobalt Qualified Studies'!E2)</f>
        <v>3.56 × 10⁴ kg CO2-eq / ton CoSO4.7(H2O)</v>
      </c>
      <c r="M29" s="3" t="str">
        <f>IF(ISBLANK('[1]Cobalt Qualified Studies'!F2),"",'[1]Cobalt Qualified Studies'!F2)</f>
        <v>64.56 kg_CO2e/kg_CoSO4_anh</v>
      </c>
      <c r="N29" s="3" t="str">
        <f>IF(ISBLANK('[1]Cobalt Qualified Studies'!G2),"",'[1]Cobalt Qualified Studies'!G2)</f>
        <v xml:space="preserve"> Yes
They used actual operation data for mining and benefication, for cobalt concentration data from an experiment (https://doi.org/10.3969/j.issn.1671-9492.2018.05.005), secondary data support from CPLCID + Ecoinvent adjusted to chinese state quo to bridge data gaps.</v>
      </c>
      <c r="O29" s="3" t="str">
        <f>IF(ISBLANK('[1]Cobalt Qualified Studies'!H2),"",'[1]Cobalt Qualified Studies'!H2)</f>
        <v>1 ton CoSO4.7(H2O)</v>
      </c>
      <c r="P29" s="3" t="str">
        <f>IF(ISBLANK('[1]Cobalt Qualified Studies'!I2),"",'[1]Cobalt Qualified Studies'!I2)</f>
        <v>see screenshot</v>
      </c>
      <c r="Q29" s="3" t="str">
        <f>IF(ISBLANK('[1]Cobalt Qualified Studies'!J2),"",'[1]Cobalt Qualified Studies'!J2)</f>
        <v>++ transparent</v>
      </c>
      <c r="R29" s="3" t="str">
        <f>IF(ISBLANK('[1]Cobalt Qualified Studies'!K2),"",'[1]Cobalt Qualified Studies'!K2)</f>
        <v>Cobalt sulfate, Cobalt-copper ores, Cobalt-nickel ores</v>
      </c>
      <c r="S29" s="3" t="str">
        <f>IF(ISBLANK('[1]Cobalt Qualified Studies'!L2),"",'[1]Cobalt Qualified Studies'!L2)</f>
        <v>systematic lit rev</v>
      </c>
      <c r="T29" s="3" t="str">
        <f>IF(ISBLANK('[1]Cobalt Qualified Studies'!M2),"",'[1]Cobalt Qualified Studies'!M2)</f>
        <v>China</v>
      </c>
      <c r="U29" s="3" t="str">
        <f>IF(ISBLANK('[1]Cobalt Qualified Studies'!N2),"",'[1]Cobalt Qualified Studies'!N2)</f>
        <v>Kalatongke Mine</v>
      </c>
      <c r="V29" s="8" t="b">
        <v>0</v>
      </c>
      <c r="W29" s="4" t="s">
        <v>74</v>
      </c>
    </row>
    <row r="30" spans="1:26" ht="57.6" x14ac:dyDescent="0.3">
      <c r="G30" s="1" t="str">
        <f>IF(H30="Cobalt Institute (2019)","","ERROR - check row order of Notion export")</f>
        <v/>
      </c>
      <c r="H30" s="3" t="str">
        <f>IF(ISBLANK('[1]Cobalt Qualified Studies'!A3),"",'[1]Cobalt Qualified Studies'!A3)</f>
        <v>Cobalt Institute (2019)</v>
      </c>
      <c r="I30" s="3" t="str">
        <f>IF(ISBLANK('[1]Cobalt Qualified Studies'!B3),"",'[1]Cobalt Qualified Studies'!B3)</f>
        <v>Cobalt Life Cycle Assessment</v>
      </c>
      <c r="J30" s="3" t="str">
        <f>IF(ISBLANK('[1]Cobalt Qualified Studies'!C3),"",'[1]Cobalt Qualified Studies'!C3)</f>
        <v>https://www.cobaltinstitute.org/sustainability/life-cycle-assessment/</v>
      </c>
      <c r="K30" s="3" t="str">
        <f>IF(ISBLANK('[1]Cobalt Qualified Studies'!D3),"",'[1]Cobalt Qualified Studies'!D3)</f>
        <v>Report</v>
      </c>
      <c r="L30" s="3" t="str">
        <f>IF(ISBLANK('[1]Cobalt Qualified Studies'!E3),"",'[1]Cobalt Qualified Studies'!E3)</f>
        <v>4,0 kg CO2 eq. / kg CoSO4.7(H2O)</v>
      </c>
      <c r="M30" s="3" t="str">
        <f>IF(ISBLANK('[1]Cobalt Qualified Studies'!F3),"",'[1]Cobalt Qualified Studies'!F3)</f>
        <v>7.25 kg_CO2e/kg_CoSO4_anh</v>
      </c>
      <c r="N30" s="3" t="str">
        <f>IF(ISBLANK('[1]Cobalt Qualified Studies'!G3),"",'[1]Cobalt Qualified Studies'!G3)</f>
        <v>Yes</v>
      </c>
      <c r="O30" s="3" t="str">
        <f>IF(ISBLANK('[1]Cobalt Qualified Studies'!H3),"",'[1]Cobalt Qualified Studies'!H3)</f>
        <v>1 kg CoSO4.7(H2O)</v>
      </c>
      <c r="P30" s="3" t="str">
        <f>IF(ISBLANK('[1]Cobalt Qualified Studies'!I3),"",'[1]Cobalt Qualified Studies'!I3)</f>
        <v>cradle-to-gate</v>
      </c>
      <c r="Q30" s="3" t="str">
        <f>IF(ISBLANK('[1]Cobalt Qualified Studies'!J3),"",'[1]Cobalt Qualified Studies'!J3)</f>
        <v>++ transparent</v>
      </c>
      <c r="R30" s="3" t="str">
        <f>IF(ISBLANK('[1]Cobalt Qualified Studies'!K3),"",'[1]Cobalt Qualified Studies'!K3)</f>
        <v>Cobalt sulfate</v>
      </c>
      <c r="S30" s="3" t="str">
        <f>IF(ISBLANK('[1]Cobalt Qualified Studies'!L3),"",'[1]Cobalt Qualified Studies'!L3)</f>
        <v>google search</v>
      </c>
      <c r="T30" s="3" t="str">
        <f>IF(ISBLANK('[1]Cobalt Qualified Studies'!M3),"",'[1]Cobalt Qualified Studies'!M3)</f>
        <v>Global</v>
      </c>
      <c r="U30" s="3" t="str">
        <f>IF(ISBLANK('[1]Cobalt Qualified Studies'!N3),"",'[1]Cobalt Qualified Studies'!N3)</f>
        <v>Industry average</v>
      </c>
      <c r="V30" s="8" t="b">
        <v>0</v>
      </c>
      <c r="W30" s="4" t="s">
        <v>75</v>
      </c>
    </row>
    <row r="31" spans="1:26" ht="28.8" x14ac:dyDescent="0.3">
      <c r="G31" s="1" t="str">
        <f>IF(H31="Crenna et al. (2021)","","ERROR - check row order of Notion export")</f>
        <v/>
      </c>
      <c r="H31" s="3" t="str">
        <f>IF(ISBLANK('[1]Cobalt Qualified Studies'!A4),"",'[1]Cobalt Qualified Studies'!A4)</f>
        <v>Crenna et al. (2021)</v>
      </c>
      <c r="I31" s="3" t="str">
        <f>IF(ISBLANK('[1]Cobalt Qualified Studies'!B4),"",'[1]Cobalt Qualified Studies'!B4)</f>
        <v>Towards more flexibility and transparency in life cycle inventories for Lithium-ion batteries</v>
      </c>
      <c r="J31" s="3" t="str">
        <f>IF(ISBLANK('[1]Cobalt Qualified Studies'!C4),"",'[1]Cobalt Qualified Studies'!C4)</f>
        <v>https://doi.org/10.1016/j.resconrec.2021.105619</v>
      </c>
      <c r="K31" s="3" t="str">
        <f>IF(ISBLANK('[1]Cobalt Qualified Studies'!D4),"",'[1]Cobalt Qualified Studies'!D4)</f>
        <v>Literature</v>
      </c>
      <c r="L31" s="3" t="str">
        <f>IF(ISBLANK('[1]Cobalt Qualified Studies'!E4),"",'[1]Cobalt Qualified Studies'!E4)</f>
        <v>9.46kg CO2 eq per 1 kg CoSO4 anh</v>
      </c>
      <c r="M31" s="3" t="str">
        <f>IF(ISBLANK('[1]Cobalt Qualified Studies'!F4),"",'[1]Cobalt Qualified Studies'!F4)</f>
        <v>9.46 kg_CO2e/kg_CoSO4_anh</v>
      </c>
      <c r="N31" s="3" t="str">
        <f>IF(ISBLANK('[1]Cobalt Qualified Studies'!G4),"",'[1]Cobalt Qualified Studies'!G4)</f>
        <v>partially → comments</v>
      </c>
      <c r="O31" s="3" t="str">
        <f>IF(ISBLANK('[1]Cobalt Qualified Studies'!H4),"",'[1]Cobalt Qualified Studies'!H4)</f>
        <v>1 kg CoSO4 anhydrous  (hypothesized bcs of close connection to ecoinvent which uses anhydrous compounds)</v>
      </c>
      <c r="P31" s="3" t="str">
        <f>IF(ISBLANK('[1]Cobalt Qualified Studies'!I4),"",'[1]Cobalt Qualified Studies'!I4)</f>
        <v>cradle to gate</v>
      </c>
      <c r="Q31" s="3" t="str">
        <f>IF(ISBLANK('[1]Cobalt Qualified Studies'!J4),"",'[1]Cobalt Qualified Studies'!J4)</f>
        <v>-- intransparent</v>
      </c>
      <c r="R31" s="3" t="str">
        <f>IF(ISBLANK('[1]Cobalt Qualified Studies'!K4),"",'[1]Cobalt Qualified Studies'!K4)</f>
        <v>Cobalt sulfate, Cobalt-copper ores</v>
      </c>
      <c r="S31" s="3" t="str">
        <f>IF(ISBLANK('[1]Cobalt Qualified Studies'!L4),"",'[1]Cobalt Qualified Studies'!L4)</f>
        <v>connectedpapers.com</v>
      </c>
      <c r="T31" s="3" t="str">
        <f>IF(ISBLANK('[1]Cobalt Qualified Studies'!M4),"",'[1]Cobalt Qualified Studies'!M4)</f>
        <v>China, DRC</v>
      </c>
      <c r="U31" s="3" t="str">
        <f>IF(ISBLANK('[1]Cobalt Qualified Studies'!N4),"",'[1]Cobalt Qualified Studies'!N4)</f>
        <v>Not specified</v>
      </c>
      <c r="V31" s="8" t="s">
        <v>114</v>
      </c>
      <c r="W31" s="8" t="s">
        <v>115</v>
      </c>
    </row>
    <row r="32" spans="1:26" ht="28.8" x14ac:dyDescent="0.3">
      <c r="G32" s="1" t="str">
        <f>IF(H32="Rinne et al. (2021)","","ERROR - check row order of Notion export")</f>
        <v/>
      </c>
      <c r="H32" s="3" t="str">
        <f>IF(ISBLANK('[1]Cobalt Qualified Studies'!A5),"",'[1]Cobalt Qualified Studies'!A5)</f>
        <v>Rinne et al. (2021)</v>
      </c>
      <c r="I32" s="3" t="str">
        <f>IF(ISBLANK('[1]Cobalt Qualified Studies'!B5),"",'[1]Cobalt Qualified Studies'!B5)</f>
        <v>Life cycle assessment and process simulation of prospective battery-grade cobalt sulfate production from Co-Au ores in Finland</v>
      </c>
      <c r="J32" s="3" t="str">
        <f>IF(ISBLANK('[1]Cobalt Qualified Studies'!C5),"",'[1]Cobalt Qualified Studies'!C5)</f>
        <v>https://doi.org/10.1007/s11367-021-01965-3</v>
      </c>
      <c r="K32" s="3" t="str">
        <f>IF(ISBLANK('[1]Cobalt Qualified Studies'!D5),"",'[1]Cobalt Qualified Studies'!D5)</f>
        <v>Literature</v>
      </c>
      <c r="L32" s="3" t="str">
        <f>IF(ISBLANK('[1]Cobalt Qualified Studies'!E5),"",'[1]Cobalt Qualified Studies'!E5)</f>
        <v xml:space="preserve">20.9 kg CO2-eq / kg CoSO4.7(H2O) </v>
      </c>
      <c r="M32" s="3" t="str">
        <f>IF(ISBLANK('[1]Cobalt Qualified Studies'!F5),"",'[1]Cobalt Qualified Studies'!F5)</f>
        <v>37.90 kg_CO2e/kg_CoSO4_anh</v>
      </c>
      <c r="N32" s="3" t="str">
        <f>IF(ISBLANK('[1]Cobalt Qualified Studies'!G5),"",'[1]Cobalt Qualified Studies'!G5)</f>
        <v>modelled LCI based on literature review</v>
      </c>
      <c r="O32" s="3" t="str">
        <f>IF(ISBLANK('[1]Cobalt Qualified Studies'!H5),"",'[1]Cobalt Qualified Studies'!H5)</f>
        <v>1 kg CoSO4.7(H2O)</v>
      </c>
      <c r="P32" s="3" t="str">
        <f>IF(ISBLANK('[1]Cobalt Qualified Studies'!I5),"",'[1]Cobalt Qualified Studies'!I5)</f>
        <v>see screenshot</v>
      </c>
      <c r="Q32" s="3" t="str">
        <f>IF(ISBLANK('[1]Cobalt Qualified Studies'!J5),"",'[1]Cobalt Qualified Studies'!J5)</f>
        <v>++ transparent</v>
      </c>
      <c r="R32" s="3" t="str">
        <f>IF(ISBLANK('[1]Cobalt Qualified Studies'!K5),"",'[1]Cobalt Qualified Studies'!K5)</f>
        <v>Co-Au ores, Cobalt sulfate</v>
      </c>
      <c r="S32" s="3" t="str">
        <f>IF(ISBLANK('[1]Cobalt Qualified Studies'!L5),"",'[1]Cobalt Qualified Studies'!L5)</f>
        <v>systematic lit rev</v>
      </c>
      <c r="T32" s="3" t="str">
        <f>IF(ISBLANK('[1]Cobalt Qualified Studies'!M5),"",'[1]Cobalt Qualified Studies'!M5)</f>
        <v>Finland</v>
      </c>
      <c r="U32" s="3" t="str">
        <f>IF(ISBLANK('[1]Cobalt Qualified Studies'!N5),"",'[1]Cobalt Qualified Studies'!N5)</f>
        <v>Rajapalot gold-cobalt prospect</v>
      </c>
      <c r="V32" s="8" t="b">
        <v>0</v>
      </c>
      <c r="W32" s="46" t="s">
        <v>116</v>
      </c>
    </row>
    <row r="33" spans="7:23" ht="144" x14ac:dyDescent="0.3">
      <c r="G33" s="1" t="str">
        <f>IF(H33="Bollwein (2022)","","ERROR - check row order of Notion export")</f>
        <v/>
      </c>
      <c r="H33" s="3" t="str">
        <f>IF(ISBLANK('[1]Cobalt Qualified Studies'!A6),"",'[1]Cobalt Qualified Studies'!A6)</f>
        <v>Bollwein (2022)</v>
      </c>
      <c r="I33" s="3" t="str">
        <f>IF(ISBLANK('[1]Cobalt Qualified Studies'!B6),"",'[1]Cobalt Qualified Studies'!B6)</f>
        <v>Comparative life cycle assessment of prospective battery-grade material production in Norway</v>
      </c>
      <c r="J33" s="3" t="str">
        <f>IF(ISBLANK('[1]Cobalt Qualified Studies'!C6),"",'[1]Cobalt Qualified Studies'!C6)</f>
        <v>https://hdl.handle.net/11250/3023809</v>
      </c>
      <c r="K33" s="3" t="str">
        <f>IF(ISBLANK('[1]Cobalt Qualified Studies'!D6),"",'[1]Cobalt Qualified Studies'!D6)</f>
        <v>Report</v>
      </c>
      <c r="L33" s="3" t="str">
        <f>IF(ISBLANK('[1]Cobalt Qualified Studies'!E6),"",'[1]Cobalt Qualified Studies'!E6)</f>
        <v>7.69 kgCO2eq. / kg CoSO4 anh</v>
      </c>
      <c r="M33" s="3" t="str">
        <f>IF(ISBLANK('[1]Cobalt Qualified Studies'!F6),"",'[1]Cobalt Qualified Studies'!F6)</f>
        <v>7.69 kg_CO2e/kg_CoSO4_anh</v>
      </c>
      <c r="N33" s="3" t="str">
        <f>IF(ISBLANK('[1]Cobalt Qualified Studies'!G6),"",'[1]Cobalt Qualified Studies'!G6)</f>
        <v>yes</v>
      </c>
      <c r="O33" s="3" t="str">
        <f>IF(ISBLANK('[1]Cobalt Qualified Studies'!H6),"",'[1]Cobalt Qualified Studies'!H6)</f>
        <v xml:space="preserve">1 kg CoSO4 anhydrous  (hypothesized)
</v>
      </c>
      <c r="P33" s="3" t="str">
        <f>IF(ISBLANK('[1]Cobalt Qualified Studies'!I6),"",'[1]Cobalt Qualified Studies'!I6)</f>
        <v>screenshot</v>
      </c>
      <c r="Q33" s="3" t="str">
        <f>IF(ISBLANK('[1]Cobalt Qualified Studies'!J6),"",'[1]Cobalt Qualified Studies'!J6)</f>
        <v>+ transparent</v>
      </c>
      <c r="R33" s="3" t="str">
        <f>IF(ISBLANK('[1]Cobalt Qualified Studies'!K6),"",'[1]Cobalt Qualified Studies'!K6)</f>
        <v>Cobalt sulfate</v>
      </c>
      <c r="S33" s="3" t="str">
        <f>IF(ISBLANK('[1]Cobalt Qualified Studies'!L6),"",'[1]Cobalt Qualified Studies'!L6)</f>
        <v>google search</v>
      </c>
      <c r="T33" s="3" t="str">
        <f>IF(ISBLANK('[1]Cobalt Qualified Studies'!M6),"",'[1]Cobalt Qualified Studies'!M6)</f>
        <v>Canada, Norway</v>
      </c>
      <c r="U33" s="3" t="str">
        <f>IF(ISBLANK('[1]Cobalt Qualified Studies'!N6),"",'[1]Cobalt Qualified Studies'!N6)</f>
        <v>Glencore Nikkelverk</v>
      </c>
      <c r="V33" s="8" t="b">
        <v>0</v>
      </c>
      <c r="W33" s="4" t="s">
        <v>99</v>
      </c>
    </row>
    <row r="34" spans="7:23" s="6" customFormat="1" x14ac:dyDescent="0.3">
      <c r="G34" s="1" t="str">
        <f>IF(H34="Ecoinvent 3.9.1 ","","ERROR - check row order of Notion export")</f>
        <v/>
      </c>
      <c r="H34" s="3" t="str">
        <f>IF(ISBLANK('[1]Cobalt Qualified Studies'!A7),"",'[1]Cobalt Qualified Studies'!A7)</f>
        <v xml:space="preserve">Ecoinvent 3.9.1 </v>
      </c>
      <c r="I34" s="3" t="str">
        <f>IF(ISBLANK('[1]Cobalt Qualified Studies'!B7),"",'[1]Cobalt Qualified Studies'!B7)</f>
        <v>cobalt sulfate production</v>
      </c>
      <c r="J34" s="3" t="str">
        <f>IF(ISBLANK('[1]Cobalt Qualified Studies'!C7),"",'[1]Cobalt Qualified Studies'!C7)</f>
        <v>https://ecoquery.ecoinvent.org/3.9.1/cutoff/dataset/25117/documentation</v>
      </c>
      <c r="K34" s="3" t="str">
        <f>IF(ISBLANK('[1]Cobalt Qualified Studies'!D7),"",'[1]Cobalt Qualified Studies'!D7)</f>
        <v>Database</v>
      </c>
      <c r="L34" s="3" t="str">
        <f>IF(ISBLANK('[1]Cobalt Qualified Studies'!E7),"",'[1]Cobalt Qualified Studies'!E7)</f>
        <v>28.89 CO2-eq / kg CoSO4 anh</v>
      </c>
      <c r="M34" s="3" t="str">
        <f>IF(ISBLANK('[1]Cobalt Qualified Studies'!F7),"",'[1]Cobalt Qualified Studies'!F7)</f>
        <v>28.89 kg_CO2e/kg_CoSO4_anh</v>
      </c>
      <c r="N34" s="3" t="str">
        <f>IF(ISBLANK('[1]Cobalt Qualified Studies'!G7),"",'[1]Cobalt Qualified Studies'!G7)</f>
        <v xml:space="preserve">no → estimated from Dai et al. (2018) </v>
      </c>
      <c r="O34" s="3" t="str">
        <f>IF(ISBLANK('[1]Cobalt Qualified Studies'!H7),"",'[1]Cobalt Qualified Studies'!H7)</f>
        <v>1 kg CoSO4 anhydrous (hypothesized based on ANL)</v>
      </c>
      <c r="P34" s="3" t="str">
        <f>IF(ISBLANK('[1]Cobalt Qualified Studies'!I7),"",'[1]Cobalt Qualified Studies'!I7)</f>
        <v>cradle-to-gate</v>
      </c>
      <c r="Q34" s="3" t="str">
        <f>IF(ISBLANK('[1]Cobalt Qualified Studies'!J7),"",'[1]Cobalt Qualified Studies'!J7)</f>
        <v>++ transparent</v>
      </c>
      <c r="R34" s="3" t="str">
        <f>IF(ISBLANK('[1]Cobalt Qualified Studies'!K7),"",'[1]Cobalt Qualified Studies'!K7)</f>
        <v>Cobalt hydroxide, Cobalt sulfate</v>
      </c>
      <c r="S34" s="3" t="str">
        <f>IF(ISBLANK('[1]Cobalt Qualified Studies'!L7),"",'[1]Cobalt Qualified Studies'!L7)</f>
        <v>google search</v>
      </c>
      <c r="T34" s="3" t="str">
        <f>IF(ISBLANK('[1]Cobalt Qualified Studies'!M7),"",'[1]Cobalt Qualified Studies'!M7)</f>
        <v>China</v>
      </c>
      <c r="U34" s="3" t="str">
        <f>IF(ISBLANK('[1]Cobalt Qualified Studies'!N7),"",'[1]Cobalt Qualified Studies'!N7)</f>
        <v>Huayou Cobalt Co. Ltd.</v>
      </c>
      <c r="V34" s="8" t="b">
        <v>1</v>
      </c>
      <c r="W34" s="9" t="s">
        <v>117</v>
      </c>
    </row>
    <row r="35" spans="7:23" x14ac:dyDescent="0.3">
      <c r="G35" s="1" t="str">
        <f>IF(H35="GREET 2022 [econ-alloc]","","ERROR - check row order of Notion export")</f>
        <v/>
      </c>
      <c r="H35" s="3" t="str">
        <f>IF(ISBLANK('[1]Cobalt Qualified Studies'!A8),"",'[1]Cobalt Qualified Studies'!A8)</f>
        <v>GREET 2022 [econ-alloc]</v>
      </c>
      <c r="I35" s="3" t="str">
        <f>IF(ISBLANK('[1]Cobalt Qualified Studies'!B8),"",'[1]Cobalt Qualified Studies'!B8)</f>
        <v xml:space="preserve">Refined CoSO4 Production - Economic Value Allocation
</v>
      </c>
      <c r="J35" s="3" t="str">
        <f>IF(ISBLANK('[1]Cobalt Qualified Studies'!C8),"",'[1]Cobalt Qualified Studies'!C8)</f>
        <v>https://greet.anl.gov/</v>
      </c>
      <c r="K35" s="3" t="str">
        <f>IF(ISBLANK('[1]Cobalt Qualified Studies'!D8),"",'[1]Cobalt Qualified Studies'!D8)</f>
        <v>Database</v>
      </c>
      <c r="L35" s="3" t="str">
        <f>IF(ISBLANK('[1]Cobalt Qualified Studies'!E8),"",'[1]Cobalt Qualified Studies'!E8)</f>
        <v>9.7 CO2-eq / kg CoSO4 anh</v>
      </c>
      <c r="M35" s="3" t="str">
        <f>IF(ISBLANK('[1]Cobalt Qualified Studies'!F8),"",'[1]Cobalt Qualified Studies'!F8)</f>
        <v>9.7 kg_CO2e/kg_CoSO4_anh</v>
      </c>
      <c r="N35" s="3" t="str">
        <f>IF(ISBLANK('[1]Cobalt Qualified Studies'!G8),"",'[1]Cobalt Qualified Studies'!G8)</f>
        <v/>
      </c>
      <c r="O35" s="3" t="str">
        <f>IF(ISBLANK('[1]Cobalt Qualified Studies'!H8),"",'[1]Cobalt Qualified Studies'!H8)</f>
        <v>1 kg cobalt sulfate anhydrous</v>
      </c>
      <c r="P35" s="3" t="str">
        <f>IF(ISBLANK('[1]Cobalt Qualified Studies'!I8),"",'[1]Cobalt Qualified Studies'!I8)</f>
        <v/>
      </c>
      <c r="Q35" s="3" t="str">
        <f>IF(ISBLANK('[1]Cobalt Qualified Studies'!J8),"",'[1]Cobalt Qualified Studies'!J8)</f>
        <v/>
      </c>
      <c r="R35" s="3" t="str">
        <f>IF(ISBLANK('[1]Cobalt Qualified Studies'!K8),"",'[1]Cobalt Qualified Studies'!K8)</f>
        <v>Cobalt sulfate</v>
      </c>
      <c r="S35" s="3" t="str">
        <f>IF(ISBLANK('[1]Cobalt Qualified Studies'!L8),"",'[1]Cobalt Qualified Studies'!L8)</f>
        <v>google search</v>
      </c>
      <c r="T35" s="3" t="str">
        <f>IF(ISBLANK('[1]Cobalt Qualified Studies'!M8),"",'[1]Cobalt Qualified Studies'!M8)</f>
        <v>China, DRC</v>
      </c>
      <c r="U35" s="3" t="str">
        <f>IF(ISBLANK('[1]Cobalt Qualified Studies'!N8),"",'[1]Cobalt Qualified Studies'!N8)</f>
        <v>Kamoto, Mutanda, Tenke Fungurume</v>
      </c>
      <c r="V35" s="8" t="b">
        <v>0</v>
      </c>
      <c r="W35" s="9" t="s">
        <v>111</v>
      </c>
    </row>
    <row r="36" spans="7:23" x14ac:dyDescent="0.3">
      <c r="G36" s="1" t="str">
        <f>IF(H36="GREET 2022 [mass-alloc]","","ERROR - check row order of Notion export")</f>
        <v/>
      </c>
      <c r="H36" s="3" t="str">
        <f>IF(ISBLANK('[1]Cobalt Qualified Studies'!A9),"",'[1]Cobalt Qualified Studies'!A9)</f>
        <v>GREET 2022 [mass-alloc]</v>
      </c>
      <c r="I36" s="3" t="str">
        <f>IF(ISBLANK('[1]Cobalt Qualified Studies'!B9),"",'[1]Cobalt Qualified Studies'!B9)</f>
        <v xml:space="preserve">Refined CoSO4 Production - Economic Value Allocation
</v>
      </c>
      <c r="J36" s="3" t="str">
        <f>IF(ISBLANK('[1]Cobalt Qualified Studies'!C9),"",'[1]Cobalt Qualified Studies'!C9)</f>
        <v>https://greet.anl.gov/</v>
      </c>
      <c r="K36" s="3" t="str">
        <f>IF(ISBLANK('[1]Cobalt Qualified Studies'!D9),"",'[1]Cobalt Qualified Studies'!D9)</f>
        <v>Database</v>
      </c>
      <c r="L36" s="3" t="str">
        <f>IF(ISBLANK('[1]Cobalt Qualified Studies'!E9),"",'[1]Cobalt Qualified Studies'!E9)</f>
        <v>6.9 CO2-eq / kg CoSO4 anh</v>
      </c>
      <c r="M36" s="3" t="str">
        <f>IF(ISBLANK('[1]Cobalt Qualified Studies'!F9),"",'[1]Cobalt Qualified Studies'!F9)</f>
        <v>6.9 kg_CO2e/kg_CoSO4_anh</v>
      </c>
      <c r="N36" s="3" t="str">
        <f>IF(ISBLANK('[1]Cobalt Qualified Studies'!G9),"",'[1]Cobalt Qualified Studies'!G9)</f>
        <v/>
      </c>
      <c r="O36" s="3" t="str">
        <f>IF(ISBLANK('[1]Cobalt Qualified Studies'!H9),"",'[1]Cobalt Qualified Studies'!H9)</f>
        <v>1 kg cobalt sulfate anhydrous</v>
      </c>
      <c r="P36" s="3" t="str">
        <f>IF(ISBLANK('[1]Cobalt Qualified Studies'!I9),"",'[1]Cobalt Qualified Studies'!I9)</f>
        <v/>
      </c>
      <c r="Q36" s="3" t="str">
        <f>IF(ISBLANK('[1]Cobalt Qualified Studies'!J9),"",'[1]Cobalt Qualified Studies'!J9)</f>
        <v/>
      </c>
      <c r="R36" s="3" t="str">
        <f>IF(ISBLANK('[1]Cobalt Qualified Studies'!K9),"",'[1]Cobalt Qualified Studies'!K9)</f>
        <v>Cobalt sulfate</v>
      </c>
      <c r="S36" s="3" t="str">
        <f>IF(ISBLANK('[1]Cobalt Qualified Studies'!L9),"",'[1]Cobalt Qualified Studies'!L9)</f>
        <v>google search</v>
      </c>
      <c r="T36" s="3" t="str">
        <f>IF(ISBLANK('[1]Cobalt Qualified Studies'!M9),"",'[1]Cobalt Qualified Studies'!M9)</f>
        <v>China, DRC</v>
      </c>
      <c r="U36" s="3" t="str">
        <f>IF(ISBLANK('[1]Cobalt Qualified Studies'!N9),"",'[1]Cobalt Qualified Studies'!N9)</f>
        <v>Kamoto, Mutanda, Tenke Fungurume</v>
      </c>
      <c r="V36" s="8" t="b">
        <v>0</v>
      </c>
      <c r="W36" s="9" t="s">
        <v>111</v>
      </c>
    </row>
    <row r="37" spans="7:23" x14ac:dyDescent="0.3">
      <c r="G37" s="1" t="str">
        <f t="shared" ref="G37:G48" si="16">IF(H37="","","ERROR - check row order of Notion export")</f>
        <v/>
      </c>
      <c r="H37" s="3" t="str">
        <f>IF(ISBLANK('[1]Cobalt Qualified Studies'!A10),"",'[1]Cobalt Qualified Studies'!A10)</f>
        <v/>
      </c>
      <c r="I37" s="3" t="str">
        <f>IF(ISBLANK('[1]Cobalt Qualified Studies'!B10),"",'[1]Cobalt Qualified Studies'!B10)</f>
        <v/>
      </c>
      <c r="J37" s="3" t="str">
        <f>IF(ISBLANK('[1]Cobalt Qualified Studies'!C10),"",'[1]Cobalt Qualified Studies'!C10)</f>
        <v/>
      </c>
      <c r="K37" s="3" t="str">
        <f>IF(ISBLANK('[1]Cobalt Qualified Studies'!D10),"",'[1]Cobalt Qualified Studies'!D10)</f>
        <v/>
      </c>
      <c r="L37" s="3" t="str">
        <f>IF(ISBLANK('[1]Cobalt Qualified Studies'!E10),"",'[1]Cobalt Qualified Studies'!E10)</f>
        <v/>
      </c>
      <c r="M37" s="3" t="str">
        <f>IF(ISBLANK('[1]Cobalt Qualified Studies'!F10),"",'[1]Cobalt Qualified Studies'!F10)</f>
        <v/>
      </c>
      <c r="N37" s="3" t="str">
        <f>IF(ISBLANK('[1]Cobalt Qualified Studies'!G10),"",'[1]Cobalt Qualified Studies'!G10)</f>
        <v/>
      </c>
      <c r="O37" s="3" t="str">
        <f>IF(ISBLANK('[1]Cobalt Qualified Studies'!H10),"",'[1]Cobalt Qualified Studies'!H10)</f>
        <v/>
      </c>
      <c r="P37" s="3" t="str">
        <f>IF(ISBLANK('[1]Cobalt Qualified Studies'!I10),"",'[1]Cobalt Qualified Studies'!I10)</f>
        <v/>
      </c>
      <c r="Q37" s="3" t="str">
        <f>IF(ISBLANK('[1]Cobalt Qualified Studies'!J10),"",'[1]Cobalt Qualified Studies'!J10)</f>
        <v/>
      </c>
      <c r="R37" s="3" t="str">
        <f>IF(ISBLANK('[1]Cobalt Qualified Studies'!K10),"",'[1]Cobalt Qualified Studies'!K10)</f>
        <v/>
      </c>
      <c r="S37" s="3" t="str">
        <f>IF(ISBLANK('[1]Cobalt Qualified Studies'!L10),"",'[1]Cobalt Qualified Studies'!L10)</f>
        <v/>
      </c>
      <c r="T37" s="3" t="str">
        <f>IF(ISBLANK('[1]Cobalt Qualified Studies'!M10),"",'[1]Cobalt Qualified Studies'!M10)</f>
        <v/>
      </c>
      <c r="U37" s="3" t="str">
        <f>IF(ISBLANK('[1]Cobalt Qualified Studies'!N10),"",'[1]Cobalt Qualified Studies'!N10)</f>
        <v/>
      </c>
      <c r="V37" s="8"/>
      <c r="W37" s="9"/>
    </row>
    <row r="38" spans="7:23" x14ac:dyDescent="0.3">
      <c r="G38" s="1" t="str">
        <f t="shared" si="16"/>
        <v/>
      </c>
      <c r="H38" s="3" t="str">
        <f>IF(ISBLANK('[1]Cobalt Qualified Studies'!A11),"",'[1]Cobalt Qualified Studies'!A11)</f>
        <v/>
      </c>
      <c r="I38" s="3" t="str">
        <f>IF(ISBLANK('[1]Cobalt Qualified Studies'!B11),"",'[1]Cobalt Qualified Studies'!B11)</f>
        <v/>
      </c>
      <c r="J38" s="3" t="str">
        <f>IF(ISBLANK('[1]Cobalt Qualified Studies'!C11),"",'[1]Cobalt Qualified Studies'!C11)</f>
        <v/>
      </c>
      <c r="K38" s="3" t="str">
        <f>IF(ISBLANK('[1]Cobalt Qualified Studies'!D11),"",'[1]Cobalt Qualified Studies'!D11)</f>
        <v/>
      </c>
      <c r="L38" s="3" t="str">
        <f>IF(ISBLANK('[1]Cobalt Qualified Studies'!E11),"",'[1]Cobalt Qualified Studies'!E11)</f>
        <v/>
      </c>
      <c r="M38" s="3" t="str">
        <f>IF(ISBLANK('[1]Cobalt Qualified Studies'!F11),"",'[1]Cobalt Qualified Studies'!F11)</f>
        <v/>
      </c>
      <c r="N38" s="3" t="str">
        <f>IF(ISBLANK('[1]Cobalt Qualified Studies'!G11),"",'[1]Cobalt Qualified Studies'!G11)</f>
        <v/>
      </c>
      <c r="O38" s="3" t="str">
        <f>IF(ISBLANK('[1]Cobalt Qualified Studies'!H11),"",'[1]Cobalt Qualified Studies'!H11)</f>
        <v/>
      </c>
      <c r="P38" s="3" t="str">
        <f>IF(ISBLANK('[1]Cobalt Qualified Studies'!I11),"",'[1]Cobalt Qualified Studies'!I11)</f>
        <v/>
      </c>
      <c r="Q38" s="3" t="str">
        <f>IF(ISBLANK('[1]Cobalt Qualified Studies'!J11),"",'[1]Cobalt Qualified Studies'!J11)</f>
        <v/>
      </c>
      <c r="R38" s="3" t="str">
        <f>IF(ISBLANK('[1]Cobalt Qualified Studies'!K11),"",'[1]Cobalt Qualified Studies'!K11)</f>
        <v/>
      </c>
      <c r="S38" s="3" t="str">
        <f>IF(ISBLANK('[1]Cobalt Qualified Studies'!L11),"",'[1]Cobalt Qualified Studies'!L11)</f>
        <v/>
      </c>
      <c r="T38" s="3" t="str">
        <f>IF(ISBLANK('[1]Cobalt Qualified Studies'!M11),"",'[1]Cobalt Qualified Studies'!M11)</f>
        <v/>
      </c>
      <c r="U38" s="3" t="str">
        <f>IF(ISBLANK('[1]Cobalt Qualified Studies'!N11),"",'[1]Cobalt Qualified Studies'!N11)</f>
        <v/>
      </c>
      <c r="V38" s="8"/>
      <c r="W38" s="9"/>
    </row>
    <row r="39" spans="7:23" x14ac:dyDescent="0.3">
      <c r="G39" s="1" t="str">
        <f t="shared" si="16"/>
        <v/>
      </c>
      <c r="H39" s="3" t="str">
        <f>IF(ISBLANK('[1]Cobalt Qualified Studies'!A12),"",'[1]Cobalt Qualified Studies'!A12)</f>
        <v/>
      </c>
      <c r="I39" s="3" t="str">
        <f>IF(ISBLANK('[1]Cobalt Qualified Studies'!B12),"",'[1]Cobalt Qualified Studies'!B12)</f>
        <v/>
      </c>
      <c r="J39" s="3" t="str">
        <f>IF(ISBLANK('[1]Cobalt Qualified Studies'!C12),"",'[1]Cobalt Qualified Studies'!C12)</f>
        <v/>
      </c>
      <c r="K39" s="3" t="str">
        <f>IF(ISBLANK('[1]Cobalt Qualified Studies'!D12),"",'[1]Cobalt Qualified Studies'!D12)</f>
        <v/>
      </c>
      <c r="L39" s="3" t="str">
        <f>IF(ISBLANK('[1]Cobalt Qualified Studies'!E12),"",'[1]Cobalt Qualified Studies'!E12)</f>
        <v/>
      </c>
      <c r="M39" s="3" t="str">
        <f>IF(ISBLANK('[1]Cobalt Qualified Studies'!F12),"",'[1]Cobalt Qualified Studies'!F12)</f>
        <v/>
      </c>
      <c r="N39" s="3" t="str">
        <f>IF(ISBLANK('[1]Cobalt Qualified Studies'!G12),"",'[1]Cobalt Qualified Studies'!G12)</f>
        <v/>
      </c>
      <c r="O39" s="3" t="str">
        <f>IF(ISBLANK('[1]Cobalt Qualified Studies'!H12),"",'[1]Cobalt Qualified Studies'!H12)</f>
        <v/>
      </c>
      <c r="P39" s="3" t="str">
        <f>IF(ISBLANK('[1]Cobalt Qualified Studies'!I12),"",'[1]Cobalt Qualified Studies'!I12)</f>
        <v/>
      </c>
      <c r="Q39" s="3" t="str">
        <f>IF(ISBLANK('[1]Cobalt Qualified Studies'!J12),"",'[1]Cobalt Qualified Studies'!J12)</f>
        <v/>
      </c>
      <c r="R39" s="3" t="str">
        <f>IF(ISBLANK('[1]Cobalt Qualified Studies'!K12),"",'[1]Cobalt Qualified Studies'!K12)</f>
        <v/>
      </c>
      <c r="S39" s="3" t="str">
        <f>IF(ISBLANK('[1]Cobalt Qualified Studies'!L12),"",'[1]Cobalt Qualified Studies'!L12)</f>
        <v/>
      </c>
      <c r="T39" s="3" t="str">
        <f>IF(ISBLANK('[1]Cobalt Qualified Studies'!M12),"",'[1]Cobalt Qualified Studies'!M12)</f>
        <v/>
      </c>
      <c r="U39" s="3" t="str">
        <f>IF(ISBLANK('[1]Cobalt Qualified Studies'!N12),"",'[1]Cobalt Qualified Studies'!N12)</f>
        <v/>
      </c>
      <c r="V39" s="8"/>
      <c r="W39" s="9"/>
    </row>
    <row r="40" spans="7:23" x14ac:dyDescent="0.3">
      <c r="G40" s="1" t="str">
        <f t="shared" si="16"/>
        <v/>
      </c>
      <c r="H40" s="3" t="str">
        <f>IF(ISBLANK('[1]Cobalt Qualified Studies'!A13),"",'[1]Cobalt Qualified Studies'!A13)</f>
        <v/>
      </c>
      <c r="I40" s="3" t="str">
        <f>IF(ISBLANK('[1]Cobalt Qualified Studies'!B13),"",'[1]Cobalt Qualified Studies'!B13)</f>
        <v/>
      </c>
      <c r="J40" s="3" t="str">
        <f>IF(ISBLANK('[1]Cobalt Qualified Studies'!C13),"",'[1]Cobalt Qualified Studies'!C13)</f>
        <v/>
      </c>
      <c r="K40" s="3" t="str">
        <f>IF(ISBLANK('[1]Cobalt Qualified Studies'!D13),"",'[1]Cobalt Qualified Studies'!D13)</f>
        <v/>
      </c>
      <c r="L40" s="3" t="str">
        <f>IF(ISBLANK('[1]Cobalt Qualified Studies'!E13),"",'[1]Cobalt Qualified Studies'!E13)</f>
        <v/>
      </c>
      <c r="M40" s="3" t="str">
        <f>IF(ISBLANK('[1]Cobalt Qualified Studies'!F13),"",'[1]Cobalt Qualified Studies'!F13)</f>
        <v/>
      </c>
      <c r="N40" s="3" t="str">
        <f>IF(ISBLANK('[1]Cobalt Qualified Studies'!G13),"",'[1]Cobalt Qualified Studies'!G13)</f>
        <v/>
      </c>
      <c r="O40" s="3" t="str">
        <f>IF(ISBLANK('[1]Cobalt Qualified Studies'!H13),"",'[1]Cobalt Qualified Studies'!H13)</f>
        <v/>
      </c>
      <c r="P40" s="3" t="str">
        <f>IF(ISBLANK('[1]Cobalt Qualified Studies'!I13),"",'[1]Cobalt Qualified Studies'!I13)</f>
        <v/>
      </c>
      <c r="Q40" s="3" t="str">
        <f>IF(ISBLANK('[1]Cobalt Qualified Studies'!J13),"",'[1]Cobalt Qualified Studies'!J13)</f>
        <v/>
      </c>
      <c r="R40" s="3" t="str">
        <f>IF(ISBLANK('[1]Cobalt Qualified Studies'!K13),"",'[1]Cobalt Qualified Studies'!K13)</f>
        <v/>
      </c>
      <c r="S40" s="3" t="str">
        <f>IF(ISBLANK('[1]Cobalt Qualified Studies'!L13),"",'[1]Cobalt Qualified Studies'!L13)</f>
        <v/>
      </c>
      <c r="T40" s="3" t="str">
        <f>IF(ISBLANK('[1]Cobalt Qualified Studies'!M13),"",'[1]Cobalt Qualified Studies'!M13)</f>
        <v/>
      </c>
      <c r="U40" s="3" t="str">
        <f>IF(ISBLANK('[1]Cobalt Qualified Studies'!N13),"",'[1]Cobalt Qualified Studies'!N13)</f>
        <v/>
      </c>
      <c r="V40" s="8"/>
      <c r="W40" s="9"/>
    </row>
    <row r="41" spans="7:23" x14ac:dyDescent="0.3">
      <c r="G41" s="1" t="str">
        <f t="shared" si="16"/>
        <v/>
      </c>
      <c r="H41" s="3" t="str">
        <f>IF(ISBLANK('[1]Cobalt Qualified Studies'!A14),"",'[1]Cobalt Qualified Studies'!A14)</f>
        <v/>
      </c>
      <c r="I41" s="3" t="str">
        <f>IF(ISBLANK('[1]Cobalt Qualified Studies'!B14),"",'[1]Cobalt Qualified Studies'!B14)</f>
        <v/>
      </c>
      <c r="J41" s="3" t="str">
        <f>IF(ISBLANK('[1]Cobalt Qualified Studies'!C14),"",'[1]Cobalt Qualified Studies'!C14)</f>
        <v/>
      </c>
      <c r="K41" s="3" t="str">
        <f>IF(ISBLANK('[1]Cobalt Qualified Studies'!D14),"",'[1]Cobalt Qualified Studies'!D14)</f>
        <v/>
      </c>
      <c r="L41" s="3" t="str">
        <f>IF(ISBLANK('[1]Cobalt Qualified Studies'!E14),"",'[1]Cobalt Qualified Studies'!E14)</f>
        <v/>
      </c>
      <c r="M41" s="3" t="str">
        <f>IF(ISBLANK('[1]Cobalt Qualified Studies'!F14),"",'[1]Cobalt Qualified Studies'!F14)</f>
        <v/>
      </c>
      <c r="N41" s="3" t="str">
        <f>IF(ISBLANK('[1]Cobalt Qualified Studies'!G14),"",'[1]Cobalt Qualified Studies'!G14)</f>
        <v/>
      </c>
      <c r="O41" s="3" t="str">
        <f>IF(ISBLANK('[1]Cobalt Qualified Studies'!H14),"",'[1]Cobalt Qualified Studies'!H14)</f>
        <v/>
      </c>
      <c r="P41" s="3" t="str">
        <f>IF(ISBLANK('[1]Cobalt Qualified Studies'!I14),"",'[1]Cobalt Qualified Studies'!I14)</f>
        <v/>
      </c>
      <c r="Q41" s="3" t="str">
        <f>IF(ISBLANK('[1]Cobalt Qualified Studies'!J14),"",'[1]Cobalt Qualified Studies'!J14)</f>
        <v/>
      </c>
      <c r="R41" s="3" t="str">
        <f>IF(ISBLANK('[1]Cobalt Qualified Studies'!K14),"",'[1]Cobalt Qualified Studies'!K14)</f>
        <v/>
      </c>
      <c r="S41" s="3" t="str">
        <f>IF(ISBLANK('[1]Cobalt Qualified Studies'!L14),"",'[1]Cobalt Qualified Studies'!L14)</f>
        <v/>
      </c>
      <c r="T41" s="3" t="str">
        <f>IF(ISBLANK('[1]Cobalt Qualified Studies'!M14),"",'[1]Cobalt Qualified Studies'!M14)</f>
        <v/>
      </c>
      <c r="U41" s="3" t="str">
        <f>IF(ISBLANK('[1]Cobalt Qualified Studies'!N14),"",'[1]Cobalt Qualified Studies'!N14)</f>
        <v/>
      </c>
      <c r="V41" s="8"/>
      <c r="W41" s="9"/>
    </row>
    <row r="42" spans="7:23" x14ac:dyDescent="0.3">
      <c r="G42" s="1" t="str">
        <f t="shared" si="16"/>
        <v/>
      </c>
      <c r="H42" s="3" t="str">
        <f>IF(ISBLANK('[1]Cobalt Qualified Studies'!A15),"",'[1]Cobalt Qualified Studies'!A15)</f>
        <v/>
      </c>
      <c r="I42" s="3" t="str">
        <f>IF(ISBLANK('[1]Cobalt Qualified Studies'!B15),"",'[1]Cobalt Qualified Studies'!B15)</f>
        <v/>
      </c>
      <c r="J42" s="3" t="str">
        <f>IF(ISBLANK('[1]Cobalt Qualified Studies'!C15),"",'[1]Cobalt Qualified Studies'!C15)</f>
        <v/>
      </c>
      <c r="K42" s="3" t="str">
        <f>IF(ISBLANK('[1]Cobalt Qualified Studies'!D15),"",'[1]Cobalt Qualified Studies'!D15)</f>
        <v/>
      </c>
      <c r="L42" s="3" t="str">
        <f>IF(ISBLANK('[1]Cobalt Qualified Studies'!E15),"",'[1]Cobalt Qualified Studies'!E15)</f>
        <v/>
      </c>
      <c r="M42" s="3" t="str">
        <f>IF(ISBLANK('[1]Cobalt Qualified Studies'!F15),"",'[1]Cobalt Qualified Studies'!F15)</f>
        <v/>
      </c>
      <c r="N42" s="3" t="str">
        <f>IF(ISBLANK('[1]Cobalt Qualified Studies'!G15),"",'[1]Cobalt Qualified Studies'!G15)</f>
        <v/>
      </c>
      <c r="O42" s="3" t="str">
        <f>IF(ISBLANK('[1]Cobalt Qualified Studies'!H15),"",'[1]Cobalt Qualified Studies'!H15)</f>
        <v/>
      </c>
      <c r="P42" s="3" t="str">
        <f>IF(ISBLANK('[1]Cobalt Qualified Studies'!I15),"",'[1]Cobalt Qualified Studies'!I15)</f>
        <v/>
      </c>
      <c r="Q42" s="3" t="str">
        <f>IF(ISBLANK('[1]Cobalt Qualified Studies'!J15),"",'[1]Cobalt Qualified Studies'!J15)</f>
        <v/>
      </c>
      <c r="R42" s="3" t="str">
        <f>IF(ISBLANK('[1]Cobalt Qualified Studies'!K15),"",'[1]Cobalt Qualified Studies'!K15)</f>
        <v/>
      </c>
      <c r="S42" s="3" t="str">
        <f>IF(ISBLANK('[1]Cobalt Qualified Studies'!L15),"",'[1]Cobalt Qualified Studies'!L15)</f>
        <v/>
      </c>
      <c r="T42" s="3" t="str">
        <f>IF(ISBLANK('[1]Cobalt Qualified Studies'!M15),"",'[1]Cobalt Qualified Studies'!M15)</f>
        <v/>
      </c>
      <c r="U42" s="3" t="str">
        <f>IF(ISBLANK('[1]Cobalt Qualified Studies'!N15),"",'[1]Cobalt Qualified Studies'!N15)</f>
        <v/>
      </c>
      <c r="V42" s="8"/>
      <c r="W42" s="9"/>
    </row>
    <row r="43" spans="7:23" x14ac:dyDescent="0.3">
      <c r="G43" s="1" t="str">
        <f t="shared" si="16"/>
        <v/>
      </c>
      <c r="H43" s="3" t="str">
        <f>IF(ISBLANK('[1]Cobalt Qualified Studies'!A16),"",'[1]Cobalt Qualified Studies'!A16)</f>
        <v/>
      </c>
      <c r="I43" s="3" t="str">
        <f>IF(ISBLANK('[1]Cobalt Qualified Studies'!B16),"",'[1]Cobalt Qualified Studies'!B16)</f>
        <v/>
      </c>
      <c r="J43" s="3" t="str">
        <f>IF(ISBLANK('[1]Cobalt Qualified Studies'!C16),"",'[1]Cobalt Qualified Studies'!C16)</f>
        <v/>
      </c>
      <c r="K43" s="3" t="str">
        <f>IF(ISBLANK('[1]Cobalt Qualified Studies'!D16),"",'[1]Cobalt Qualified Studies'!D16)</f>
        <v/>
      </c>
      <c r="L43" s="3" t="str">
        <f>IF(ISBLANK('[1]Cobalt Qualified Studies'!E16),"",'[1]Cobalt Qualified Studies'!E16)</f>
        <v/>
      </c>
      <c r="M43" s="3" t="str">
        <f>IF(ISBLANK('[1]Cobalt Qualified Studies'!F16),"",'[1]Cobalt Qualified Studies'!F16)</f>
        <v/>
      </c>
      <c r="N43" s="3" t="str">
        <f>IF(ISBLANK('[1]Cobalt Qualified Studies'!G16),"",'[1]Cobalt Qualified Studies'!G16)</f>
        <v/>
      </c>
      <c r="O43" s="3" t="str">
        <f>IF(ISBLANK('[1]Cobalt Qualified Studies'!H16),"",'[1]Cobalt Qualified Studies'!H16)</f>
        <v/>
      </c>
      <c r="P43" s="3" t="str">
        <f>IF(ISBLANK('[1]Cobalt Qualified Studies'!I16),"",'[1]Cobalt Qualified Studies'!I16)</f>
        <v/>
      </c>
      <c r="Q43" s="3" t="str">
        <f>IF(ISBLANK('[1]Cobalt Qualified Studies'!J16),"",'[1]Cobalt Qualified Studies'!J16)</f>
        <v/>
      </c>
      <c r="R43" s="3" t="str">
        <f>IF(ISBLANK('[1]Cobalt Qualified Studies'!K16),"",'[1]Cobalt Qualified Studies'!K16)</f>
        <v/>
      </c>
      <c r="S43" s="3" t="str">
        <f>IF(ISBLANK('[1]Cobalt Qualified Studies'!L16),"",'[1]Cobalt Qualified Studies'!L16)</f>
        <v/>
      </c>
      <c r="T43" s="3" t="str">
        <f>IF(ISBLANK('[1]Cobalt Qualified Studies'!M16),"",'[1]Cobalt Qualified Studies'!M16)</f>
        <v/>
      </c>
      <c r="U43" s="3" t="str">
        <f>IF(ISBLANK('[1]Cobalt Qualified Studies'!N16),"",'[1]Cobalt Qualified Studies'!N16)</f>
        <v/>
      </c>
      <c r="V43" s="8"/>
      <c r="W43" s="9"/>
    </row>
    <row r="44" spans="7:23" x14ac:dyDescent="0.3">
      <c r="G44" s="1" t="str">
        <f t="shared" si="16"/>
        <v/>
      </c>
      <c r="H44" s="3" t="str">
        <f>IF(ISBLANK('[1]Cobalt Qualified Studies'!A17),"",'[1]Cobalt Qualified Studies'!A17)</f>
        <v/>
      </c>
      <c r="I44" s="3" t="str">
        <f>IF(ISBLANK('[1]Cobalt Qualified Studies'!B17),"",'[1]Cobalt Qualified Studies'!B17)</f>
        <v/>
      </c>
      <c r="J44" s="3" t="str">
        <f>IF(ISBLANK('[1]Cobalt Qualified Studies'!C17),"",'[1]Cobalt Qualified Studies'!C17)</f>
        <v/>
      </c>
      <c r="K44" s="3" t="str">
        <f>IF(ISBLANK('[1]Cobalt Qualified Studies'!D17),"",'[1]Cobalt Qualified Studies'!D17)</f>
        <v/>
      </c>
      <c r="L44" s="3" t="str">
        <f>IF(ISBLANK('[1]Cobalt Qualified Studies'!E17),"",'[1]Cobalt Qualified Studies'!E17)</f>
        <v/>
      </c>
      <c r="M44" s="3" t="str">
        <f>IF(ISBLANK('[1]Cobalt Qualified Studies'!F17),"",'[1]Cobalt Qualified Studies'!F17)</f>
        <v/>
      </c>
      <c r="N44" s="3" t="str">
        <f>IF(ISBLANK('[1]Cobalt Qualified Studies'!G17),"",'[1]Cobalt Qualified Studies'!G17)</f>
        <v/>
      </c>
      <c r="O44" s="3" t="str">
        <f>IF(ISBLANK('[1]Cobalt Qualified Studies'!H17),"",'[1]Cobalt Qualified Studies'!H17)</f>
        <v/>
      </c>
      <c r="P44" s="3" t="str">
        <f>IF(ISBLANK('[1]Cobalt Qualified Studies'!I17),"",'[1]Cobalt Qualified Studies'!I17)</f>
        <v/>
      </c>
      <c r="Q44" s="3" t="str">
        <f>IF(ISBLANK('[1]Cobalt Qualified Studies'!J17),"",'[1]Cobalt Qualified Studies'!J17)</f>
        <v/>
      </c>
      <c r="R44" s="3" t="str">
        <f>IF(ISBLANK('[1]Cobalt Qualified Studies'!K17),"",'[1]Cobalt Qualified Studies'!K17)</f>
        <v/>
      </c>
      <c r="S44" s="3" t="str">
        <f>IF(ISBLANK('[1]Cobalt Qualified Studies'!L17),"",'[1]Cobalt Qualified Studies'!L17)</f>
        <v/>
      </c>
      <c r="T44" s="3" t="str">
        <f>IF(ISBLANK('[1]Cobalt Qualified Studies'!M17),"",'[1]Cobalt Qualified Studies'!M17)</f>
        <v/>
      </c>
      <c r="U44" s="3" t="str">
        <f>IF(ISBLANK('[1]Cobalt Qualified Studies'!N17),"",'[1]Cobalt Qualified Studies'!N17)</f>
        <v/>
      </c>
      <c r="V44" s="8"/>
      <c r="W44" s="9"/>
    </row>
    <row r="45" spans="7:23" x14ac:dyDescent="0.3">
      <c r="G45" s="1" t="str">
        <f t="shared" si="16"/>
        <v/>
      </c>
      <c r="H45" s="3" t="str">
        <f>IF(ISBLANK('[1]Cobalt Qualified Studies'!A18),"",'[1]Cobalt Qualified Studies'!A18)</f>
        <v/>
      </c>
      <c r="I45" s="3" t="str">
        <f>IF(ISBLANK('[1]Cobalt Qualified Studies'!B18),"",'[1]Cobalt Qualified Studies'!B18)</f>
        <v/>
      </c>
      <c r="J45" s="3" t="str">
        <f>IF(ISBLANK('[1]Cobalt Qualified Studies'!C18),"",'[1]Cobalt Qualified Studies'!C18)</f>
        <v/>
      </c>
      <c r="K45" s="3" t="str">
        <f>IF(ISBLANK('[1]Cobalt Qualified Studies'!D18),"",'[1]Cobalt Qualified Studies'!D18)</f>
        <v/>
      </c>
      <c r="L45" s="3" t="str">
        <f>IF(ISBLANK('[1]Cobalt Qualified Studies'!E18),"",'[1]Cobalt Qualified Studies'!E18)</f>
        <v/>
      </c>
      <c r="M45" s="3" t="str">
        <f>IF(ISBLANK('[1]Cobalt Qualified Studies'!F18),"",'[1]Cobalt Qualified Studies'!F18)</f>
        <v/>
      </c>
      <c r="N45" s="3" t="str">
        <f>IF(ISBLANK('[1]Cobalt Qualified Studies'!G18),"",'[1]Cobalt Qualified Studies'!G18)</f>
        <v/>
      </c>
      <c r="O45" s="3" t="str">
        <f>IF(ISBLANK('[1]Cobalt Qualified Studies'!H18),"",'[1]Cobalt Qualified Studies'!H18)</f>
        <v/>
      </c>
      <c r="P45" s="3" t="str">
        <f>IF(ISBLANK('[1]Cobalt Qualified Studies'!I18),"",'[1]Cobalt Qualified Studies'!I18)</f>
        <v/>
      </c>
      <c r="Q45" s="3" t="str">
        <f>IF(ISBLANK('[1]Cobalt Qualified Studies'!J18),"",'[1]Cobalt Qualified Studies'!J18)</f>
        <v/>
      </c>
      <c r="R45" s="3" t="str">
        <f>IF(ISBLANK('[1]Cobalt Qualified Studies'!K18),"",'[1]Cobalt Qualified Studies'!K18)</f>
        <v/>
      </c>
      <c r="S45" s="3" t="str">
        <f>IF(ISBLANK('[1]Cobalt Qualified Studies'!L18),"",'[1]Cobalt Qualified Studies'!L18)</f>
        <v/>
      </c>
      <c r="T45" s="3" t="str">
        <f>IF(ISBLANK('[1]Cobalt Qualified Studies'!M18),"",'[1]Cobalt Qualified Studies'!M18)</f>
        <v/>
      </c>
      <c r="U45" s="3" t="str">
        <f>IF(ISBLANK('[1]Cobalt Qualified Studies'!N18),"",'[1]Cobalt Qualified Studies'!N18)</f>
        <v/>
      </c>
      <c r="V45" s="8"/>
      <c r="W45" s="9"/>
    </row>
    <row r="46" spans="7:23" x14ac:dyDescent="0.3">
      <c r="G46" s="1" t="str">
        <f t="shared" si="16"/>
        <v/>
      </c>
      <c r="H46" s="3" t="str">
        <f>IF(ISBLANK('[1]Cobalt Qualified Studies'!A19),"",'[1]Cobalt Qualified Studies'!A19)</f>
        <v/>
      </c>
      <c r="I46" s="3" t="str">
        <f>IF(ISBLANK('[1]Cobalt Qualified Studies'!B19),"",'[1]Cobalt Qualified Studies'!B19)</f>
        <v/>
      </c>
      <c r="J46" s="3" t="str">
        <f>IF(ISBLANK('[1]Cobalt Qualified Studies'!C19),"",'[1]Cobalt Qualified Studies'!C19)</f>
        <v/>
      </c>
      <c r="K46" s="3" t="str">
        <f>IF(ISBLANK('[1]Cobalt Qualified Studies'!D19),"",'[1]Cobalt Qualified Studies'!D19)</f>
        <v/>
      </c>
      <c r="L46" s="3" t="str">
        <f>IF(ISBLANK('[1]Cobalt Qualified Studies'!E19),"",'[1]Cobalt Qualified Studies'!E19)</f>
        <v/>
      </c>
      <c r="M46" s="3" t="str">
        <f>IF(ISBLANK('[1]Cobalt Qualified Studies'!F19),"",'[1]Cobalt Qualified Studies'!F19)</f>
        <v/>
      </c>
      <c r="N46" s="3" t="str">
        <f>IF(ISBLANK('[1]Cobalt Qualified Studies'!G19),"",'[1]Cobalt Qualified Studies'!G19)</f>
        <v/>
      </c>
      <c r="O46" s="3" t="str">
        <f>IF(ISBLANK('[1]Cobalt Qualified Studies'!H19),"",'[1]Cobalt Qualified Studies'!H19)</f>
        <v/>
      </c>
      <c r="P46" s="3" t="str">
        <f>IF(ISBLANK('[1]Cobalt Qualified Studies'!I19),"",'[1]Cobalt Qualified Studies'!I19)</f>
        <v/>
      </c>
      <c r="Q46" s="3" t="str">
        <f>IF(ISBLANK('[1]Cobalt Qualified Studies'!J19),"",'[1]Cobalt Qualified Studies'!J19)</f>
        <v/>
      </c>
      <c r="R46" s="3" t="str">
        <f>IF(ISBLANK('[1]Cobalt Qualified Studies'!K19),"",'[1]Cobalt Qualified Studies'!K19)</f>
        <v/>
      </c>
      <c r="S46" s="3" t="str">
        <f>IF(ISBLANK('[1]Cobalt Qualified Studies'!L19),"",'[1]Cobalt Qualified Studies'!L19)</f>
        <v/>
      </c>
      <c r="T46" s="3" t="str">
        <f>IF(ISBLANK('[1]Cobalt Qualified Studies'!M19),"",'[1]Cobalt Qualified Studies'!M19)</f>
        <v/>
      </c>
      <c r="U46" s="3" t="str">
        <f>IF(ISBLANK('[1]Cobalt Qualified Studies'!N19),"",'[1]Cobalt Qualified Studies'!N19)</f>
        <v/>
      </c>
      <c r="V46" s="8"/>
      <c r="W46" s="9"/>
    </row>
    <row r="47" spans="7:23" x14ac:dyDescent="0.3">
      <c r="G47" s="1" t="str">
        <f t="shared" si="16"/>
        <v/>
      </c>
      <c r="H47" s="3" t="str">
        <f>IF(ISBLANK('[1]Cobalt Qualified Studies'!A20),"",'[1]Cobalt Qualified Studies'!A20)</f>
        <v/>
      </c>
      <c r="I47" s="3" t="str">
        <f>IF(ISBLANK('[1]Cobalt Qualified Studies'!B20),"",'[1]Cobalt Qualified Studies'!B20)</f>
        <v/>
      </c>
      <c r="J47" s="3" t="str">
        <f>IF(ISBLANK('[1]Cobalt Qualified Studies'!C20),"",'[1]Cobalt Qualified Studies'!C20)</f>
        <v/>
      </c>
      <c r="K47" s="3" t="str">
        <f>IF(ISBLANK('[1]Cobalt Qualified Studies'!D20),"",'[1]Cobalt Qualified Studies'!D20)</f>
        <v/>
      </c>
      <c r="L47" s="3" t="str">
        <f>IF(ISBLANK('[1]Cobalt Qualified Studies'!E20),"",'[1]Cobalt Qualified Studies'!E20)</f>
        <v/>
      </c>
      <c r="M47" s="3" t="str">
        <f>IF(ISBLANK('[1]Cobalt Qualified Studies'!F20),"",'[1]Cobalt Qualified Studies'!F20)</f>
        <v/>
      </c>
      <c r="N47" s="3" t="str">
        <f>IF(ISBLANK('[1]Cobalt Qualified Studies'!G20),"",'[1]Cobalt Qualified Studies'!G20)</f>
        <v/>
      </c>
      <c r="O47" s="3" t="str">
        <f>IF(ISBLANK('[1]Cobalt Qualified Studies'!H20),"",'[1]Cobalt Qualified Studies'!H20)</f>
        <v/>
      </c>
      <c r="P47" s="3" t="str">
        <f>IF(ISBLANK('[1]Cobalt Qualified Studies'!I20),"",'[1]Cobalt Qualified Studies'!I20)</f>
        <v/>
      </c>
      <c r="Q47" s="3" t="str">
        <f>IF(ISBLANK('[1]Cobalt Qualified Studies'!J20),"",'[1]Cobalt Qualified Studies'!J20)</f>
        <v/>
      </c>
      <c r="R47" s="3" t="str">
        <f>IF(ISBLANK('[1]Cobalt Qualified Studies'!K20),"",'[1]Cobalt Qualified Studies'!K20)</f>
        <v/>
      </c>
      <c r="S47" s="3" t="str">
        <f>IF(ISBLANK('[1]Cobalt Qualified Studies'!L20),"",'[1]Cobalt Qualified Studies'!L20)</f>
        <v/>
      </c>
      <c r="T47" s="3" t="str">
        <f>IF(ISBLANK('[1]Cobalt Qualified Studies'!M20),"",'[1]Cobalt Qualified Studies'!M20)</f>
        <v/>
      </c>
      <c r="U47" s="3" t="str">
        <f>IF(ISBLANK('[1]Cobalt Qualified Studies'!N20),"",'[1]Cobalt Qualified Studies'!N20)</f>
        <v/>
      </c>
      <c r="V47" s="8"/>
      <c r="W47" s="9"/>
    </row>
    <row r="48" spans="7:23" x14ac:dyDescent="0.3">
      <c r="G48" s="1" t="str">
        <f t="shared" si="16"/>
        <v/>
      </c>
      <c r="H48" s="3" t="str">
        <f>IF(ISBLANK('[1]Cobalt Qualified Studies'!A21),"",'[1]Cobalt Qualified Studies'!A21)</f>
        <v/>
      </c>
      <c r="I48" s="3" t="str">
        <f>IF(ISBLANK('[1]Cobalt Qualified Studies'!B21),"",'[1]Cobalt Qualified Studies'!B21)</f>
        <v/>
      </c>
      <c r="J48" s="3" t="str">
        <f>IF(ISBLANK('[1]Cobalt Qualified Studies'!C21),"",'[1]Cobalt Qualified Studies'!C21)</f>
        <v/>
      </c>
      <c r="K48" s="3" t="str">
        <f>IF(ISBLANK('[1]Cobalt Qualified Studies'!D21),"",'[1]Cobalt Qualified Studies'!D21)</f>
        <v/>
      </c>
      <c r="L48" s="3" t="str">
        <f>IF(ISBLANK('[1]Cobalt Qualified Studies'!E21),"",'[1]Cobalt Qualified Studies'!E21)</f>
        <v/>
      </c>
      <c r="M48" s="3" t="str">
        <f>IF(ISBLANK('[1]Cobalt Qualified Studies'!F21),"",'[1]Cobalt Qualified Studies'!F21)</f>
        <v/>
      </c>
      <c r="N48" s="3" t="str">
        <f>IF(ISBLANK('[1]Cobalt Qualified Studies'!G21),"",'[1]Cobalt Qualified Studies'!G21)</f>
        <v/>
      </c>
      <c r="O48" s="3" t="str">
        <f>IF(ISBLANK('[1]Cobalt Qualified Studies'!H21),"",'[1]Cobalt Qualified Studies'!H21)</f>
        <v/>
      </c>
      <c r="P48" s="3" t="str">
        <f>IF(ISBLANK('[1]Cobalt Qualified Studies'!I21),"",'[1]Cobalt Qualified Studies'!I21)</f>
        <v/>
      </c>
      <c r="Q48" s="3" t="str">
        <f>IF(ISBLANK('[1]Cobalt Qualified Studies'!J21),"",'[1]Cobalt Qualified Studies'!J21)</f>
        <v/>
      </c>
      <c r="R48" s="3" t="str">
        <f>IF(ISBLANK('[1]Cobalt Qualified Studies'!K21),"",'[1]Cobalt Qualified Studies'!K21)</f>
        <v/>
      </c>
      <c r="S48" s="3" t="str">
        <f>IF(ISBLANK('[1]Cobalt Qualified Studies'!L21),"",'[1]Cobalt Qualified Studies'!L21)</f>
        <v/>
      </c>
      <c r="T48" s="3" t="str">
        <f>IF(ISBLANK('[1]Cobalt Qualified Studies'!M21),"",'[1]Cobalt Qualified Studies'!M21)</f>
        <v/>
      </c>
      <c r="U48" s="3" t="str">
        <f>IF(ISBLANK('[1]Cobalt Qualified Studies'!N21),"",'[1]Cobalt Qualified Studies'!N21)</f>
        <v/>
      </c>
      <c r="V48" s="8"/>
      <c r="W48" s="9"/>
    </row>
    <row r="49" spans="8:21" x14ac:dyDescent="0.3">
      <c r="H49" s="6" t="str">
        <f>IF(ISBLANK('[1]Cobalt Qualified Studies'!A22),"",'[1]Cobalt Qualified Studies'!A22)</f>
        <v/>
      </c>
      <c r="I49" s="6" t="str">
        <f>IF(ISBLANK('[1]Cobalt Qualified Studies'!B22),"",'[1]Cobalt Qualified Studies'!B22)</f>
        <v/>
      </c>
      <c r="J49" s="6" t="str">
        <f>IF(ISBLANK('[1]Cobalt Qualified Studies'!C22),"",'[1]Cobalt Qualified Studies'!C22)</f>
        <v/>
      </c>
      <c r="K49" s="6" t="str">
        <f>IF(ISBLANK('[1]Cobalt Qualified Studies'!D22),"",'[1]Cobalt Qualified Studies'!D22)</f>
        <v/>
      </c>
      <c r="L49" s="6" t="str">
        <f>IF(ISBLANK('[1]Cobalt Qualified Studies'!E22),"",'[1]Cobalt Qualified Studies'!E22)</f>
        <v/>
      </c>
      <c r="M49" s="6" t="str">
        <f>IF(ISBLANK('[1]Cobalt Qualified Studies'!F22),"",'[1]Cobalt Qualified Studies'!F22)</f>
        <v/>
      </c>
      <c r="N49" s="6" t="str">
        <f>IF(ISBLANK('[1]Cobalt Qualified Studies'!G22),"",'[1]Cobalt Qualified Studies'!G22)</f>
        <v/>
      </c>
      <c r="O49" s="6" t="str">
        <f>IF(ISBLANK('[1]Cobalt Qualified Studies'!H22),"",'[1]Cobalt Qualified Studies'!H22)</f>
        <v/>
      </c>
      <c r="P49" s="6" t="str">
        <f>IF(ISBLANK('[1]Cobalt Qualified Studies'!I22),"",'[1]Cobalt Qualified Studies'!I22)</f>
        <v/>
      </c>
      <c r="Q49" s="6" t="str">
        <f>IF(ISBLANK('[1]Cobalt Qualified Studies'!J22),"",'[1]Cobalt Qualified Studies'!J22)</f>
        <v/>
      </c>
      <c r="R49" s="6" t="str">
        <f>IF(ISBLANK('[1]Cobalt Qualified Studies'!K22),"",'[1]Cobalt Qualified Studies'!K22)</f>
        <v/>
      </c>
      <c r="S49" s="6" t="str">
        <f>IF(ISBLANK('[1]Cobalt Qualified Studies'!L22),"",'[1]Cobalt Qualified Studies'!L22)</f>
        <v/>
      </c>
      <c r="T49" s="6" t="str">
        <f>IF(ISBLANK('[1]Cobalt Qualified Studies'!M22),"",'[1]Cobalt Qualified Studies'!M22)</f>
        <v/>
      </c>
      <c r="U49" s="6" t="str">
        <f>IF(ISBLANK('[1]Cobalt Qualified Studies'!N22),"",'[1]Cobalt Qualified Studies'!N22)</f>
        <v/>
      </c>
    </row>
  </sheetData>
  <mergeCells count="6">
    <mergeCell ref="H27:U27"/>
    <mergeCell ref="V27:W27"/>
    <mergeCell ref="A1:F1"/>
    <mergeCell ref="H2:K2"/>
    <mergeCell ref="M2:P2"/>
    <mergeCell ref="R2:U2"/>
  </mergeCells>
  <phoneticPr fontId="21" type="noConversion"/>
  <conditionalFormatting sqref="G1:G1048576">
    <cfRule type="containsText" dxfId="0" priority="1" operator="containsText" text="ERROR">
      <formula>NOT(ISERROR(SEARCH("ERROR",G1)))</formula>
    </cfRule>
  </conditionalFormatting>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Nickel - List</vt:lpstr>
      <vt:lpstr>Nickel - Con - Breakdown</vt:lpstr>
      <vt:lpstr>Nickel - Lat-Lim - Breakdown</vt:lpstr>
      <vt:lpstr>Nickel - Lat-Sap - Breakdown</vt:lpstr>
      <vt:lpstr>Lithium - List</vt:lpstr>
      <vt:lpstr>Lithium - Car - Breakdown</vt:lpstr>
      <vt:lpstr>Lithium - Con - Breakdown</vt:lpstr>
      <vt:lpstr>Cobalt - List</vt:lpstr>
      <vt:lpstr>Cobalt - Hyd - Breakdown</vt:lpstr>
      <vt:lpstr>Cobalt - Con - Breakdown</vt:lpstr>
      <vt:lpstr>Graphite - List</vt:lpstr>
      <vt:lpstr>Graphite - Nat - Breakdown</vt:lpstr>
      <vt:lpstr>Graphite - Syn - Breakdown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Leopold</dc:creator>
  <cp:lastModifiedBy>Marin PELLAN</cp:lastModifiedBy>
  <dcterms:created xsi:type="dcterms:W3CDTF">2023-09-22T15:08:44Z</dcterms:created>
  <dcterms:modified xsi:type="dcterms:W3CDTF">2024-11-14T15:34:45Z</dcterms:modified>
</cp:coreProperties>
</file>